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120" windowHeight="9120" firstSheet="4" activeTab="8"/>
  </bookViews>
  <sheets>
    <sheet name="contents" sheetId="1" r:id="rId1"/>
    <sheet name="notes" sheetId="2" r:id="rId2"/>
    <sheet name="programs expenditure  1" sheetId="3" r:id="rId3"/>
    <sheet name="programs expenditure  2" sheetId="4" r:id="rId4"/>
    <sheet name="programs expenditure   3" sheetId="5" r:id="rId5"/>
    <sheet name="PROVINCIAL SPENDING" sheetId="6" r:id="rId6"/>
    <sheet name="income stmnt" sheetId="7" r:id="rId7"/>
    <sheet name="BS" sheetId="8" r:id="rId8"/>
    <sheet name="detailed Budget" sheetId="9" r:id="rId9"/>
    <sheet name="Summary of programs" sheetId="10" r:id="rId10"/>
  </sheets>
  <definedNames>
    <definedName name="_xlnm.Print_Area" localSheetId="7">'BS'!$A$1:$E$43</definedName>
    <definedName name="_xlnm.Print_Area" localSheetId="8">'detailed Budget'!$A$1:$I$368</definedName>
    <definedName name="_xlnm.Print_Area" localSheetId="6">'income stmnt'!$A$1:$G$33</definedName>
    <definedName name="_xlnm.Print_Area" localSheetId="1">'notes'!$A$4:$I$35</definedName>
    <definedName name="_xlnm.Print_Area" localSheetId="4">'programs expenditure   3'!$B$1:$E$59</definedName>
    <definedName name="_xlnm.Print_Area" localSheetId="9">'Summary of programs'!$A$1:$L$82</definedName>
  </definedNames>
  <calcPr fullCalcOnLoad="1"/>
</workbook>
</file>

<file path=xl/sharedStrings.xml><?xml version="1.0" encoding="utf-8"?>
<sst xmlns="http://schemas.openxmlformats.org/spreadsheetml/2006/main" count="570" uniqueCount="429">
  <si>
    <t/>
  </si>
  <si>
    <t>Donor funding</t>
  </si>
  <si>
    <t>Audit Fees</t>
  </si>
  <si>
    <t>Annual Report</t>
  </si>
  <si>
    <t>Advertising &amp; Promotions</t>
  </si>
  <si>
    <t>Bank Charges</t>
  </si>
  <si>
    <t>Catering For Workshops</t>
  </si>
  <si>
    <t>Groceries</t>
  </si>
  <si>
    <t>Cleaning</t>
  </si>
  <si>
    <t>Consulting Fees</t>
  </si>
  <si>
    <t>Courier &amp; Postage</t>
  </si>
  <si>
    <t>Depreciation</t>
  </si>
  <si>
    <t>Exhibition</t>
  </si>
  <si>
    <t>Fixed Assets Below R5000</t>
  </si>
  <si>
    <t>General Expenses</t>
  </si>
  <si>
    <t>STRAT PLAN EXPENSES</t>
  </si>
  <si>
    <t>Insurance</t>
  </si>
  <si>
    <t>Interest Paid</t>
  </si>
  <si>
    <t>Internet Fees</t>
  </si>
  <si>
    <t>IT Support</t>
  </si>
  <si>
    <t>Legal  And Compliance</t>
  </si>
  <si>
    <t>Motor Vehicle Expenses</t>
  </si>
  <si>
    <t>Petrol Expenses</t>
  </si>
  <si>
    <t>Parking</t>
  </si>
  <si>
    <t>Printing &amp; Stationery</t>
  </si>
  <si>
    <t>FINANCE AND ADMIN-STATIONERY</t>
  </si>
  <si>
    <t>Asset Count Expenses</t>
  </si>
  <si>
    <t>Office rental</t>
  </si>
  <si>
    <t>Public Education &amp; Information</t>
  </si>
  <si>
    <t>Rent - Office Equipment</t>
  </si>
  <si>
    <t>Rent - Office Plants</t>
  </si>
  <si>
    <t>Rent - Office Rental</t>
  </si>
  <si>
    <t>Repairs - Electrical</t>
  </si>
  <si>
    <t>Office Equipment</t>
  </si>
  <si>
    <t>Repairs - Office Partitioning</t>
  </si>
  <si>
    <t>Plant maintanance</t>
  </si>
  <si>
    <t>Gifts for workshop</t>
  </si>
  <si>
    <t>NATIONAL WORKSHOPS</t>
  </si>
  <si>
    <t>Membership</t>
  </si>
  <si>
    <t>Remuneration</t>
  </si>
  <si>
    <t>Remuneration - Global Acc</t>
  </si>
  <si>
    <t>Remuneration - Commission Part Time</t>
  </si>
  <si>
    <t>Remuneration - Staff Full Time</t>
  </si>
  <si>
    <t>Remuneration - Staff Part Time</t>
  </si>
  <si>
    <t>Remuneration - Temp Staff</t>
  </si>
  <si>
    <t>Remuneration - SARS - PAYE/UIF/SDL</t>
  </si>
  <si>
    <t>Remuneration - Union</t>
  </si>
  <si>
    <t>Remuneration - Garnish Orders</t>
  </si>
  <si>
    <t>Remuneration - Medical Aid</t>
  </si>
  <si>
    <t>Remuneration - Provident Fund</t>
  </si>
  <si>
    <t>Remuneration -  Alex Forbes Home Loans</t>
  </si>
  <si>
    <t>leave pay</t>
  </si>
  <si>
    <t>Remuneration - Payroll Fees</t>
  </si>
  <si>
    <t>Staff Recruitment</t>
  </si>
  <si>
    <t>Staff Wellfare</t>
  </si>
  <si>
    <t>Staff Training</t>
  </si>
  <si>
    <t>Staff - Re-imbursment (Catering &amp; Travel</t>
  </si>
  <si>
    <t>Secutiry</t>
  </si>
  <si>
    <t>Subscriptions - Newspaper &amp; Magazines</t>
  </si>
  <si>
    <t>Storage</t>
  </si>
  <si>
    <t>Telephone &amp; Fax</t>
  </si>
  <si>
    <t>Travel - Local</t>
  </si>
  <si>
    <t>Travel - Overseas</t>
  </si>
  <si>
    <t>Forex Account</t>
  </si>
  <si>
    <t>Transport - Various Workshop</t>
  </si>
  <si>
    <t>COMMUNICATIONS</t>
  </si>
  <si>
    <t>Legal</t>
  </si>
  <si>
    <t>Legal - Worshops and seminars</t>
  </si>
  <si>
    <t>Legal Dept - Intern</t>
  </si>
  <si>
    <t>Legal - Litigations</t>
  </si>
  <si>
    <t>Legal- Workshop-Mpumalanga</t>
  </si>
  <si>
    <t>Legal Workshops-N West</t>
  </si>
  <si>
    <t>Legal Workshops- OFS</t>
  </si>
  <si>
    <t>Legal Workshops-E Cape</t>
  </si>
  <si>
    <t>Legal Workshops-N Cape</t>
  </si>
  <si>
    <t>Legal Workshops- Limpopo</t>
  </si>
  <si>
    <t>Legal Workshops-KZN</t>
  </si>
  <si>
    <t>Legal Workshops-Gauteng</t>
  </si>
  <si>
    <t>PEI</t>
  </si>
  <si>
    <t>PEI - Gender Tradition  Culture Religion</t>
  </si>
  <si>
    <t>PEI - Equility Act - Workshop</t>
  </si>
  <si>
    <t>PEI - GBV - Workshops</t>
  </si>
  <si>
    <t>PEI - Dismissal-Transport Catering</t>
  </si>
  <si>
    <t>PEI Workshops- Mpumalanga</t>
  </si>
  <si>
    <t>PEI Workshops- N West</t>
  </si>
  <si>
    <t>PEI- Workshops- OFS</t>
  </si>
  <si>
    <t>PEI Workshops- E Cape</t>
  </si>
  <si>
    <t>PEI Workshops- W Cape</t>
  </si>
  <si>
    <t>PEI Workshops- N Cape</t>
  </si>
  <si>
    <t>PEI Workshops- Limpopo</t>
  </si>
  <si>
    <t>PEI Workshops-KZN</t>
  </si>
  <si>
    <t>PEI- Workshops-Gauteng</t>
  </si>
  <si>
    <t>Research</t>
  </si>
  <si>
    <t>Research - Intern</t>
  </si>
  <si>
    <t>Research - Workshop</t>
  </si>
  <si>
    <t>Research - Transport</t>
  </si>
  <si>
    <t>Research Workshops- N West</t>
  </si>
  <si>
    <t>Research Workshops-W Cape</t>
  </si>
  <si>
    <t>Research Workshop-Limpopo</t>
  </si>
  <si>
    <t>Research Workshops- KZN</t>
  </si>
  <si>
    <t>Publications</t>
  </si>
  <si>
    <t>Sundry Debtors</t>
  </si>
  <si>
    <t>COMMISSION ON GENDER EQUALITY</t>
  </si>
  <si>
    <t>FOR THE HALF YEAR ENDING 30 SEPTEMBER 2007</t>
  </si>
  <si>
    <t>UNAUDITED STATEMENT OF FINANCIAL PERFORMANCE</t>
  </si>
  <si>
    <t>Notes</t>
  </si>
  <si>
    <t>R</t>
  </si>
  <si>
    <t>Government funding</t>
  </si>
  <si>
    <t>Total revenue</t>
  </si>
  <si>
    <t>Other Income</t>
  </si>
  <si>
    <t>Finance cost</t>
  </si>
  <si>
    <t>Operating Expenses</t>
  </si>
  <si>
    <t>Net surplus/(Deficit) for the period</t>
  </si>
  <si>
    <t>Operating Surplus/(Deficit)</t>
  </si>
  <si>
    <t>UNAUDITED STATEMENT OF FINANCIAL POSITION</t>
  </si>
  <si>
    <t>Assets</t>
  </si>
  <si>
    <t>Non-current Assets</t>
  </si>
  <si>
    <t>Property Plant and Equipment</t>
  </si>
  <si>
    <t>Intangible assets</t>
  </si>
  <si>
    <t>Current Assets</t>
  </si>
  <si>
    <t>Trade and other Payables</t>
  </si>
  <si>
    <t>Cash and cash equivalence</t>
  </si>
  <si>
    <t>Total Assets</t>
  </si>
  <si>
    <t>Net Assets and Liabilities</t>
  </si>
  <si>
    <t>Net Assets</t>
  </si>
  <si>
    <t>Accummulated surplus</t>
  </si>
  <si>
    <t>Reserves</t>
  </si>
  <si>
    <t>Liabilities</t>
  </si>
  <si>
    <t>Non-current Liabilities</t>
  </si>
  <si>
    <t>Finance lease obligation</t>
  </si>
  <si>
    <t>Current Liabilities</t>
  </si>
  <si>
    <t>Deferred lease payments</t>
  </si>
  <si>
    <t>Trade other payables</t>
  </si>
  <si>
    <t>Provisions</t>
  </si>
  <si>
    <t>Total Liabilities</t>
  </si>
  <si>
    <t>Total Net Current Liabilities</t>
  </si>
  <si>
    <t>Captal expenditure</t>
  </si>
  <si>
    <t>Basic operations</t>
  </si>
  <si>
    <t>communication</t>
  </si>
  <si>
    <t>Maintenance, services and Repairs</t>
  </si>
  <si>
    <t>Office suppliers</t>
  </si>
  <si>
    <t>Finance and legal cost</t>
  </si>
  <si>
    <t>Travel and accommodation</t>
  </si>
  <si>
    <t xml:space="preserve">FOR THE HALF YEAR ENDING 30 SEPTEMBER 2007  </t>
  </si>
  <si>
    <t>draft</t>
  </si>
  <si>
    <t>Motor vehicle expenses</t>
  </si>
  <si>
    <t>Stratplan</t>
  </si>
  <si>
    <t>Staff development</t>
  </si>
  <si>
    <t>ACTUAL</t>
  </si>
  <si>
    <t>BUDGET</t>
  </si>
  <si>
    <t>VARIANCE</t>
  </si>
  <si>
    <t>Resource Centres countrywide</t>
  </si>
  <si>
    <t>Programme of Action</t>
  </si>
  <si>
    <t>Mupumalanga</t>
  </si>
  <si>
    <t>Limpopo</t>
  </si>
  <si>
    <t>KZN</t>
  </si>
  <si>
    <t>Western cape</t>
  </si>
  <si>
    <t>Eastern Cape</t>
  </si>
  <si>
    <t>Northen Cape</t>
  </si>
  <si>
    <t>North West</t>
  </si>
  <si>
    <t>OFS</t>
  </si>
  <si>
    <t>Gauteng</t>
  </si>
  <si>
    <t>PEI/LEGAL/RESEARCH</t>
  </si>
  <si>
    <t>Recruitment costs</t>
  </si>
  <si>
    <t>Skills development</t>
  </si>
  <si>
    <t>Norch increase/Part reward</t>
  </si>
  <si>
    <t>Office Equipment rentals</t>
  </si>
  <si>
    <t>Publication</t>
  </si>
  <si>
    <t>National Workshorps</t>
  </si>
  <si>
    <t>Publicity</t>
  </si>
  <si>
    <t>%  Variance</t>
  </si>
  <si>
    <t>Transport -various workshop</t>
  </si>
  <si>
    <t>ADMINISTRATION EXPENSES</t>
  </si>
  <si>
    <t>for the six month to 30/09/07</t>
  </si>
  <si>
    <t>Budget</t>
  </si>
  <si>
    <t>Note</t>
  </si>
  <si>
    <t>Variance</t>
  </si>
  <si>
    <t>0.08%. However it it should be noted that if HOD vacant positions are not filled, the rate will</t>
  </si>
  <si>
    <t>From the % above it is implied that our vacant position % rate for the six month to 30/09/07 is</t>
  </si>
  <si>
    <t>go up in the next six month to 31/03/08.</t>
  </si>
  <si>
    <t>NOTE</t>
  </si>
  <si>
    <t>Depreciation was not provided for and therefore our expenses are understated by the expense,</t>
  </si>
  <si>
    <t>however once the IT section and the service provider finishes working on the asset system, we will</t>
  </si>
  <si>
    <t>be able to factor in the item.</t>
  </si>
  <si>
    <t>Programme Expenditure</t>
  </si>
  <si>
    <t>variance</t>
  </si>
  <si>
    <t>Government Grand</t>
  </si>
  <si>
    <t>Actual</t>
  </si>
  <si>
    <t xml:space="preserve">% </t>
  </si>
  <si>
    <t>Total</t>
  </si>
  <si>
    <t>For the six month to 30/09/07</t>
  </si>
  <si>
    <t>Provincial spending as per R 250 000.00</t>
  </si>
  <si>
    <t>Total Programmes of Action</t>
  </si>
  <si>
    <t>% committed</t>
  </si>
  <si>
    <t>Total administration expenses</t>
  </si>
  <si>
    <t>% spend</t>
  </si>
  <si>
    <t>For the next six month</t>
  </si>
  <si>
    <t>Total as per budget expenditure</t>
  </si>
  <si>
    <t>PROGRAMMES SUMMARISED BUDGET AND EXPENDITURE</t>
  </si>
  <si>
    <t>CONTENTS</t>
  </si>
  <si>
    <t>Finance performance</t>
  </si>
  <si>
    <t>Summarised budget and expenditure</t>
  </si>
  <si>
    <t>Provincial spending and budget</t>
  </si>
  <si>
    <t>Detailed budget for the R 39 million.</t>
  </si>
  <si>
    <t>Financial ppsition</t>
  </si>
  <si>
    <t>Budget 2007/2008</t>
  </si>
  <si>
    <t xml:space="preserve">COMMISSION ON GENDER EQUALITY               </t>
  </si>
  <si>
    <t xml:space="preserve">2006/2007  </t>
  </si>
  <si>
    <t>2007/2008</t>
  </si>
  <si>
    <t>Programme 1</t>
  </si>
  <si>
    <t>Programme 2</t>
  </si>
  <si>
    <t>Programme 3</t>
  </si>
  <si>
    <t>Programme 4</t>
  </si>
  <si>
    <t>1 Capital Expenses</t>
  </si>
  <si>
    <t xml:space="preserve">Computers, Printers, Software and Fax Machines </t>
  </si>
  <si>
    <t>Office Furniture\additional</t>
  </si>
  <si>
    <t>Replacement of old computers (30pc's @R15k)</t>
  </si>
  <si>
    <t>Software licences</t>
  </si>
  <si>
    <t>New office equipment and furniture (Mpumalanga and Gauteng) (R150k per office)</t>
  </si>
  <si>
    <t>SUB-TOTAL (Capital Expenses)</t>
  </si>
  <si>
    <t>2 Remuneration</t>
  </si>
  <si>
    <t>2.1 Remuneration of Commissioners</t>
  </si>
  <si>
    <t xml:space="preserve">1 Chairperson </t>
  </si>
  <si>
    <t>Chair Back-Pay</t>
  </si>
  <si>
    <t>1 Vice Chairperson</t>
  </si>
  <si>
    <t>5 full time</t>
  </si>
  <si>
    <t>5 part time</t>
  </si>
  <si>
    <t>Sub-total</t>
  </si>
  <si>
    <t>2.2 Remuneration of Headquarters staff</t>
  </si>
  <si>
    <t>1 Chief Executive Officer</t>
  </si>
  <si>
    <t>1 Head of Comunications (10)</t>
  </si>
  <si>
    <t>1 Deputy Director HR (11)</t>
  </si>
  <si>
    <t>1 Admin Officer (6)</t>
  </si>
  <si>
    <t>1 Assistant Director HR (9)</t>
  </si>
  <si>
    <t>1 Administrator HR (6)</t>
  </si>
  <si>
    <t>1 Hr Clerk (5)</t>
  </si>
  <si>
    <t>1 Personal Assistant to the CEO (8)</t>
  </si>
  <si>
    <t>1 Personal Assistant to Chair (8)</t>
  </si>
  <si>
    <t>1 Executive Secretary to the Commissioners (8)</t>
  </si>
  <si>
    <t>1 Personal Assistant to Deputy Chair (8)</t>
  </si>
  <si>
    <t>Chief Operation Officer</t>
  </si>
  <si>
    <t xml:space="preserve">1 Director </t>
  </si>
  <si>
    <t>1 Administrator</t>
  </si>
  <si>
    <t>Research Department</t>
  </si>
  <si>
    <t>1 Director</t>
  </si>
  <si>
    <t>1 Administrative Officer(6)</t>
  </si>
  <si>
    <t>1 Assistant Director - Researcher</t>
  </si>
  <si>
    <t>1 Deputy Director Reasearch</t>
  </si>
  <si>
    <t>Dept Legal Services</t>
  </si>
  <si>
    <t>1 Deputy Director (11) (parliamentary)</t>
  </si>
  <si>
    <t>1 Legal researcher (Parliamentary) (10)</t>
  </si>
  <si>
    <t>1 Deputy Director (11)</t>
  </si>
  <si>
    <t>1 Complaints administrator (8)</t>
  </si>
  <si>
    <t>1 Assistant Director - Legal Officer(10)</t>
  </si>
  <si>
    <t>Sub-Total</t>
  </si>
  <si>
    <t>Dept Public Education and Information</t>
  </si>
  <si>
    <t>1 Secretary (6)</t>
  </si>
  <si>
    <t>1 Senior Education Officer (11)</t>
  </si>
  <si>
    <t>1 Resource Officer</t>
  </si>
  <si>
    <t>1 Information Officer (8)</t>
  </si>
  <si>
    <t>Dept Finance and Administration</t>
  </si>
  <si>
    <t xml:space="preserve">1 Chief Financial Officer </t>
  </si>
  <si>
    <t>1 Deputy Director Finance (11)</t>
  </si>
  <si>
    <t>1 Assistant Director (9)</t>
  </si>
  <si>
    <t>1 Finance Clerk (5)</t>
  </si>
  <si>
    <t>1 Receptionist/ Secretary (6)</t>
  </si>
  <si>
    <t>1 Registry Clerk/Driver (4)</t>
  </si>
  <si>
    <t>1 Office Assistant (3)</t>
  </si>
  <si>
    <t>2.3 Remuneration of Provinces staff</t>
  </si>
  <si>
    <t>Western Cape and Parliamentary Office</t>
  </si>
  <si>
    <t>1 Education officer (9)</t>
  </si>
  <si>
    <t>1 Legal Officer (10)</t>
  </si>
  <si>
    <t>1 Assistant Director (10)</t>
  </si>
  <si>
    <t>Kwa Zulu Natal and Mpumalanga</t>
  </si>
  <si>
    <r>
      <t>Limpopo Province</t>
    </r>
    <r>
      <rPr>
        <sz val="10"/>
        <rFont val="Arial"/>
        <family val="2"/>
      </rPr>
      <t xml:space="preserve"> </t>
    </r>
  </si>
  <si>
    <t>Free State</t>
  </si>
  <si>
    <t>Northern Cape</t>
  </si>
  <si>
    <t>1 Intern</t>
  </si>
  <si>
    <t>North-West</t>
  </si>
  <si>
    <t>1 Office Assistant (1)</t>
  </si>
  <si>
    <t>Mpumalanga</t>
  </si>
  <si>
    <t>SUB-TOTAL Staff Remuneration</t>
  </si>
  <si>
    <t>2.4 Staff Advertising/Recruitment</t>
  </si>
  <si>
    <t>2.5 Skills Development Levy</t>
  </si>
  <si>
    <t>2.6 Notch Increases/perf Rewards</t>
  </si>
  <si>
    <t>SUB-TOTAL (Remuneration)</t>
  </si>
  <si>
    <t>3 Basic operations</t>
  </si>
  <si>
    <t>3.1. Office Rental</t>
  </si>
  <si>
    <t>National office/ Gauteng prov office</t>
  </si>
  <si>
    <t>Regional Services Levy</t>
  </si>
  <si>
    <t>Northern Province</t>
  </si>
  <si>
    <t xml:space="preserve">Free State </t>
  </si>
  <si>
    <t>3.2. Communications</t>
  </si>
  <si>
    <t>Phones, fax, internet, cell:  National office</t>
  </si>
  <si>
    <t>Phones, fax, internet,cell. regional offices</t>
  </si>
  <si>
    <t>Rental; National office</t>
  </si>
  <si>
    <t>Rental; Regional offices</t>
  </si>
  <si>
    <t>Postage and Courier: National office</t>
  </si>
  <si>
    <t>Postage and Courier:regional offices</t>
  </si>
  <si>
    <t>E-mail subscription for Commissioners &amp; Staff ****</t>
  </si>
  <si>
    <t>3.3. Photocopier Rental &amp;  Copies Charge</t>
  </si>
  <si>
    <t xml:space="preserve">National office </t>
  </si>
  <si>
    <t xml:space="preserve">7 (5) regional offices </t>
  </si>
  <si>
    <t>3.4. Maintenance, Services and Repairs **</t>
  </si>
  <si>
    <t>Equipment &amp; Systems Maintenance: Nati office</t>
  </si>
  <si>
    <t>Equipment &amp; Systems Maintenance:  Reg Offices</t>
  </si>
  <si>
    <t>3.5. Office Supplies</t>
  </si>
  <si>
    <t xml:space="preserve">Stationery National Office </t>
  </si>
  <si>
    <t>Stationery Regional Offices</t>
  </si>
  <si>
    <t>Subscriptions- Resource</t>
  </si>
  <si>
    <t>Cleaning Materials</t>
  </si>
  <si>
    <t>General Expenses National Office</t>
  </si>
  <si>
    <t>General Expenses Regional Offices</t>
  </si>
  <si>
    <t>3.6. Finance &amp; Legal Costs</t>
  </si>
  <si>
    <t>Internal Audit</t>
  </si>
  <si>
    <t>Audit Committee</t>
  </si>
  <si>
    <t>Administration Fees ; Salaries</t>
  </si>
  <si>
    <t>Legal Costs</t>
  </si>
  <si>
    <t>3.7 Travel and Accommodation</t>
  </si>
  <si>
    <t xml:space="preserve">3.7.1. Chair and CEO </t>
  </si>
  <si>
    <t xml:space="preserve">Chair 1 visit per  month </t>
  </si>
  <si>
    <t>Subsistence 12days</t>
  </si>
  <si>
    <t>Overnight  Accommodation 12 nights</t>
  </si>
  <si>
    <t>CEO 1 visits per monthx12 months X 2 regions</t>
  </si>
  <si>
    <t>Subsistence 12 days</t>
  </si>
  <si>
    <t>3.7.2. Full time Commissioners</t>
  </si>
  <si>
    <t>1 visit/per month by 5 Comm x 12 months</t>
  </si>
  <si>
    <t>Subsistence for 120 days @R53/day</t>
  </si>
  <si>
    <t xml:space="preserve">3.7.3 Part time Commissioners </t>
  </si>
  <si>
    <t>1 trip per month x  5 Comm x 12 months</t>
  </si>
  <si>
    <t>Subsistence for 60 days @ R53/day</t>
  </si>
  <si>
    <t>3.7.4. Commission Meetings; plenary</t>
  </si>
  <si>
    <t xml:space="preserve">6 meetings </t>
  </si>
  <si>
    <t>Exco</t>
  </si>
  <si>
    <t>Subsistence for 12 days</t>
  </si>
  <si>
    <t xml:space="preserve">Overnight x 12  </t>
  </si>
  <si>
    <t>3.7.5  Staff Travel</t>
  </si>
  <si>
    <t>Head Office to provinces</t>
  </si>
  <si>
    <t xml:space="preserve">2 trips per month x 12 months(PEI)1 trip quarterly </t>
  </si>
  <si>
    <t xml:space="preserve"> Subsistence for 36 days</t>
  </si>
  <si>
    <t xml:space="preserve">Overnight x 36 </t>
  </si>
  <si>
    <t>Provinces to Head Office</t>
  </si>
  <si>
    <t xml:space="preserve">4 trips a year by 5 man. staff to com mtgs </t>
  </si>
  <si>
    <t>Subsistence for 20 days</t>
  </si>
  <si>
    <t xml:space="preserve">Overnight 20 nights - Accommodation </t>
  </si>
  <si>
    <t>3.7.7 Road Transport</t>
  </si>
  <si>
    <t>Sub-total (Travel &amp; Accommodation)</t>
  </si>
  <si>
    <t>3.8.  Entertainment</t>
  </si>
  <si>
    <t>3.9.1 Parking</t>
  </si>
  <si>
    <t>3.9.2 Motor Vehicle Expenses</t>
  </si>
  <si>
    <t>3.9.3 Strategic Planning</t>
  </si>
  <si>
    <t>3.9.4 Staff development (IT, Gender and other competencies)</t>
  </si>
  <si>
    <t>3.9.5 Resource centres and Employment Equity (online library, legal, parliamentary) (R30k per province + legal library)</t>
  </si>
  <si>
    <t>Gauteng &amp; Mpumalanga Admin charges</t>
  </si>
  <si>
    <t>SUB-TOTAL (Operations)</t>
  </si>
  <si>
    <t>4 Programme of Action</t>
  </si>
  <si>
    <t xml:space="preserve">Research </t>
  </si>
  <si>
    <t>4.1. GENDER AND POVERTY</t>
  </si>
  <si>
    <t>Engendering NEPAD</t>
  </si>
  <si>
    <t>Women Access to Economic Opportunities</t>
  </si>
  <si>
    <t>Women Access to Social Security</t>
  </si>
  <si>
    <t>Impact of Employment Equity on Women</t>
  </si>
  <si>
    <t>U I F maternity Benefit</t>
  </si>
  <si>
    <r>
      <t xml:space="preserve">Workshops </t>
    </r>
    <r>
      <rPr>
        <sz val="10"/>
        <color indexed="10"/>
        <rFont val="Arial"/>
        <family val="2"/>
      </rPr>
      <t xml:space="preserve">( 3 wks x 9 Prov, i.e 27wks) </t>
    </r>
  </si>
  <si>
    <t>Parliamentary related</t>
  </si>
  <si>
    <t>Legal related work</t>
  </si>
  <si>
    <t>Sub total Gender &amp; Poverty</t>
  </si>
  <si>
    <t>4.2. GENDER AND GOVERNANCE</t>
  </si>
  <si>
    <t xml:space="preserve">Workshops ( 3 wks x 9 Prov, i.e 27wks) </t>
  </si>
  <si>
    <t>Monitoring of Gender mainstreaming (Govern &amp; Priv)</t>
  </si>
  <si>
    <t xml:space="preserve">Woman in Political Dicision making </t>
  </si>
  <si>
    <t>Sub-total Gender &amp; Governance</t>
  </si>
  <si>
    <t>4.3 GENDER, TRADITION, CULTURE &amp; RELIGION</t>
  </si>
  <si>
    <t>Workshops  ( 3 wks x 9 Prov, i.e 27wks)</t>
  </si>
  <si>
    <t xml:space="preserve">Gender Dialogue (1Gd x 9 Prv, i.e. 9 Gds </t>
  </si>
  <si>
    <t>Sub-total Gender, Tradition, Culture &amp; Religion</t>
  </si>
  <si>
    <t>4.4 GENDER BASED VIOLENCE</t>
  </si>
  <si>
    <t>Domestic Violence Act</t>
  </si>
  <si>
    <t>Workshops ( 3 wks x 9 Prov, i.e 27wks)</t>
  </si>
  <si>
    <t xml:space="preserve">Gender Dialogue (2Gds x 9 Prv, i.e. 18 Gds) </t>
  </si>
  <si>
    <t>Experience of men and woman of violence</t>
  </si>
  <si>
    <t>Gender issues in anti-retroviral treatment programmes</t>
  </si>
  <si>
    <t>Sub Total Gender Based Violence</t>
  </si>
  <si>
    <t>4.5 CITIZENSHIP AND DEMOCRACY</t>
  </si>
  <si>
    <t>4.6 GOVERNANCE</t>
  </si>
  <si>
    <t>4.7 HIV/AIDS</t>
  </si>
  <si>
    <t>4.8 EMPLOYMENT EQUITY</t>
  </si>
  <si>
    <t>4.9 CAMPAIGNS</t>
  </si>
  <si>
    <t>campaigs (2 Cmps x 9 Prv, i.e 18 cmps)</t>
  </si>
  <si>
    <t>4.10 PUBLICATIONS</t>
  </si>
  <si>
    <t xml:space="preserve">Posters, Pamphlets, Corporate Stationeries, </t>
  </si>
  <si>
    <t>Wall Calendars, Diaries, Newsletters, Folders</t>
  </si>
  <si>
    <t xml:space="preserve"> 4.11 PUBLICITY</t>
  </si>
  <si>
    <t xml:space="preserve">Corporate Gifts, Advertising,Wall imaging,   </t>
  </si>
  <si>
    <t>Radio and TV promotion</t>
  </si>
  <si>
    <t>4.12 EXHIBITIONS</t>
  </si>
  <si>
    <t>Exhibitions (2 National Exhibitions )</t>
  </si>
  <si>
    <t>4.13 MONITORING</t>
  </si>
  <si>
    <t>Compliance monitoring on International human rights instruments</t>
  </si>
  <si>
    <t>Equality Court Monitoring</t>
  </si>
  <si>
    <t>Monitoring of National gender-related matters</t>
  </si>
  <si>
    <t>Subtotal new programmes</t>
  </si>
  <si>
    <t>SUB-TOTAL (Programme 4)</t>
  </si>
  <si>
    <t>TOTAL</t>
  </si>
  <si>
    <t>These reports are meant to point to management area where proactive action is</t>
  </si>
  <si>
    <t>required to avoid possible underspending.</t>
  </si>
  <si>
    <t>Human resource</t>
  </si>
  <si>
    <t>HR department may underspend due to many HOD positions which are vacant</t>
  </si>
  <si>
    <t>at this point .</t>
  </si>
  <si>
    <t>Depreciation was not charged to the income statement due to the fact that the</t>
  </si>
  <si>
    <t xml:space="preserve">system is yet to be installed. The issue is between the IT department and </t>
  </si>
  <si>
    <t>TAT I Chain. Its effect is that our expenses are understated by the  depreciation</t>
  </si>
  <si>
    <t>amount.</t>
  </si>
  <si>
    <t>spend it.</t>
  </si>
  <si>
    <t>2006/2007</t>
  </si>
  <si>
    <t>However,the good news is that we received R19 million from Justices Department,and we have managed to</t>
  </si>
  <si>
    <t>6A</t>
  </si>
  <si>
    <t>6B</t>
  </si>
  <si>
    <t>Administration Expenditure</t>
  </si>
  <si>
    <t>Programmes expenditure</t>
  </si>
  <si>
    <t xml:space="preserve">Actual </t>
  </si>
  <si>
    <t>%</t>
  </si>
  <si>
    <t>Unable to be matched with the Master Budget</t>
  </si>
  <si>
    <t xml:space="preserve"> into Department requirements hence we cannot match all expenses to the budget ,</t>
  </si>
  <si>
    <t>Note:</t>
  </si>
  <si>
    <t>Salaries linked to programs should be articulated as programmes expenses.</t>
  </si>
  <si>
    <t>The organisation is using a Master Budget and it must be broken</t>
  </si>
  <si>
    <t xml:space="preserve"> It should be noted that expense are perculiar to departments and hence </t>
  </si>
  <si>
    <t xml:space="preserve">should be drafted to reflect the requirements it each department.  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</si>
</sst>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_(* #,##0.0_);_(* \(#,##0.0\);_(* &quot;-&quot;??_);_(@_)"/>
    <numFmt numFmtId="180" formatCode="_(* #,##0_);_(* \(#,##0\);_(* &quot;-&quot;??_);_(@_)"/>
    <numFmt numFmtId="181" formatCode="_ * #,##0.0_ ;_ * \-#,##0.0_ ;_ * &quot;-&quot;??_ ;_ @_ "/>
    <numFmt numFmtId="182" formatCode="_ * #,##0_ ;_ * \-#,##0_ ;_ * &quot;-&quot;??_ ;_ @_ "/>
    <numFmt numFmtId="183" formatCode="0.0%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name val="Tahoma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name val="Baskerville Old Fac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 quotePrefix="1">
      <alignment/>
    </xf>
    <xf numFmtId="43" fontId="0" fillId="0" borderId="0" xfId="15" applyAlignment="1">
      <alignment/>
    </xf>
    <xf numFmtId="43" fontId="0" fillId="0" borderId="0" xfId="15" applyAlignment="1" quotePrefix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0" fontId="0" fillId="0" borderId="6" xfId="0" applyBorder="1" applyAlignment="1">
      <alignment/>
    </xf>
    <xf numFmtId="43" fontId="0" fillId="0" borderId="6" xfId="15" applyBorder="1" applyAlignment="1">
      <alignment/>
    </xf>
    <xf numFmtId="0" fontId="1" fillId="0" borderId="6" xfId="0" applyFont="1" applyBorder="1" applyAlignment="1">
      <alignment/>
    </xf>
    <xf numFmtId="43" fontId="1" fillId="0" borderId="6" xfId="15" applyFont="1" applyBorder="1" applyAlignment="1">
      <alignment/>
    </xf>
    <xf numFmtId="0" fontId="0" fillId="0" borderId="7" xfId="0" applyBorder="1" applyAlignment="1">
      <alignment/>
    </xf>
    <xf numFmtId="43" fontId="0" fillId="0" borderId="8" xfId="15" applyBorder="1" applyAlignment="1">
      <alignment/>
    </xf>
    <xf numFmtId="43" fontId="0" fillId="0" borderId="9" xfId="15" applyBorder="1" applyAlignment="1">
      <alignment/>
    </xf>
    <xf numFmtId="171" fontId="1" fillId="0" borderId="0" xfId="0" applyNumberFormat="1" applyFont="1" applyAlignment="1">
      <alignment/>
    </xf>
    <xf numFmtId="43" fontId="0" fillId="0" borderId="7" xfId="15" applyBorder="1" applyAlignment="1">
      <alignment/>
    </xf>
    <xf numFmtId="43" fontId="0" fillId="0" borderId="8" xfId="15" applyFont="1" applyBorder="1" applyAlignment="1">
      <alignment/>
    </xf>
    <xf numFmtId="171" fontId="0" fillId="0" borderId="6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 quotePrefix="1">
      <alignment/>
    </xf>
    <xf numFmtId="17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3" fontId="1" fillId="0" borderId="10" xfId="15" applyFont="1" applyBorder="1" applyAlignment="1">
      <alignment/>
    </xf>
    <xf numFmtId="43" fontId="0" fillId="0" borderId="11" xfId="15" applyBorder="1" applyAlignment="1">
      <alignment/>
    </xf>
    <xf numFmtId="43" fontId="1" fillId="0" borderId="12" xfId="15" applyFon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1" fillId="0" borderId="12" xfId="0" applyNumberFormat="1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0" fillId="0" borderId="0" xfId="0" applyFont="1" applyAlignment="1">
      <alignment/>
    </xf>
    <xf numFmtId="43" fontId="10" fillId="0" borderId="0" xfId="15" applyFont="1" applyAlignment="1">
      <alignment/>
    </xf>
    <xf numFmtId="0" fontId="0" fillId="0" borderId="0" xfId="0" applyFont="1" applyAlignment="1">
      <alignment/>
    </xf>
    <xf numFmtId="0" fontId="10" fillId="0" borderId="13" xfId="0" applyFont="1" applyBorder="1" applyAlignment="1">
      <alignment/>
    </xf>
    <xf numFmtId="43" fontId="10" fillId="0" borderId="13" xfId="15" applyFont="1" applyBorder="1" applyAlignment="1">
      <alignment/>
    </xf>
    <xf numFmtId="1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/>
    </xf>
    <xf numFmtId="43" fontId="10" fillId="0" borderId="0" xfId="15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3" fontId="0" fillId="0" borderId="8" xfId="15" applyFill="1" applyBorder="1" applyAlignment="1">
      <alignment/>
    </xf>
    <xf numFmtId="0" fontId="0" fillId="0" borderId="8" xfId="0" applyBorder="1" applyAlignment="1">
      <alignment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3" fontId="0" fillId="0" borderId="12" xfId="15" applyBorder="1" applyAlignment="1">
      <alignment/>
    </xf>
    <xf numFmtId="43" fontId="0" fillId="0" borderId="14" xfId="15" applyBorder="1" applyAlignment="1">
      <alignment/>
    </xf>
    <xf numFmtId="1" fontId="1" fillId="0" borderId="12" xfId="0" applyNumberFormat="1" applyFont="1" applyBorder="1" applyAlignment="1">
      <alignment horizontal="center"/>
    </xf>
    <xf numFmtId="43" fontId="10" fillId="0" borderId="15" xfId="15" applyFont="1" applyBorder="1" applyAlignment="1">
      <alignment/>
    </xf>
    <xf numFmtId="1" fontId="10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1" fillId="0" borderId="18" xfId="15" applyFont="1" applyBorder="1" applyAlignment="1">
      <alignment/>
    </xf>
    <xf numFmtId="43" fontId="1" fillId="0" borderId="17" xfId="15" applyFont="1" applyBorder="1" applyAlignment="1">
      <alignment/>
    </xf>
    <xf numFmtId="43" fontId="0" fillId="0" borderId="18" xfId="15" applyBorder="1" applyAlignment="1">
      <alignment/>
    </xf>
    <xf numFmtId="1" fontId="1" fillId="0" borderId="18" xfId="0" applyNumberFormat="1" applyFont="1" applyBorder="1" applyAlignment="1">
      <alignment horizontal="center"/>
    </xf>
    <xf numFmtId="43" fontId="0" fillId="0" borderId="17" xfId="15" applyBorder="1" applyAlignment="1">
      <alignment/>
    </xf>
    <xf numFmtId="43" fontId="0" fillId="0" borderId="18" xfId="15" applyFill="1" applyBorder="1" applyAlignment="1">
      <alignment/>
    </xf>
    <xf numFmtId="0" fontId="1" fillId="0" borderId="1" xfId="0" applyFont="1" applyBorder="1" applyAlignment="1">
      <alignment/>
    </xf>
    <xf numFmtId="0" fontId="0" fillId="0" borderId="19" xfId="0" applyBorder="1" applyAlignment="1">
      <alignment/>
    </xf>
    <xf numFmtId="43" fontId="0" fillId="0" borderId="19" xfId="15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0" fillId="0" borderId="21" xfId="0" applyBorder="1" applyAlignment="1">
      <alignment/>
    </xf>
    <xf numFmtId="43" fontId="0" fillId="0" borderId="21" xfId="15" applyBorder="1" applyAlignment="1">
      <alignment/>
    </xf>
    <xf numFmtId="0" fontId="1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44" fontId="13" fillId="3" borderId="22" xfId="17" applyFont="1" applyFill="1" applyBorder="1" applyAlignment="1" quotePrefix="1">
      <alignment horizontal="left"/>
    </xf>
    <xf numFmtId="0" fontId="1" fillId="3" borderId="22" xfId="0" applyFont="1" applyFill="1" applyBorder="1" applyAlignment="1">
      <alignment horizontal="right"/>
    </xf>
    <xf numFmtId="44" fontId="13" fillId="0" borderId="23" xfId="17" applyFont="1" applyBorder="1" applyAlignment="1" quotePrefix="1">
      <alignment horizontal="left"/>
    </xf>
    <xf numFmtId="44" fontId="0" fillId="0" borderId="23" xfId="17" applyFont="1" applyBorder="1" applyAlignment="1" quotePrefix="1">
      <alignment horizontal="left"/>
    </xf>
    <xf numFmtId="44" fontId="0" fillId="0" borderId="23" xfId="17" applyFont="1" applyBorder="1" applyAlignment="1">
      <alignment horizontal="left"/>
    </xf>
    <xf numFmtId="44" fontId="0" fillId="0" borderId="23" xfId="17" applyFont="1" applyFill="1" applyBorder="1" applyAlignment="1">
      <alignment horizontal="left" wrapText="1"/>
    </xf>
    <xf numFmtId="44" fontId="0" fillId="0" borderId="23" xfId="17" applyFont="1" applyFill="1" applyBorder="1" applyAlignment="1">
      <alignment horizontal="left"/>
    </xf>
    <xf numFmtId="44" fontId="12" fillId="4" borderId="24" xfId="17" applyFont="1" applyFill="1" applyBorder="1" applyAlignment="1" quotePrefix="1">
      <alignment horizontal="left"/>
    </xf>
    <xf numFmtId="44" fontId="12" fillId="4" borderId="25" xfId="17" applyFont="1" applyFill="1" applyBorder="1" applyAlignment="1" quotePrefix="1">
      <alignment horizontal="left"/>
    </xf>
    <xf numFmtId="44" fontId="1" fillId="0" borderId="0" xfId="17" applyFont="1" applyAlignment="1">
      <alignment/>
    </xf>
    <xf numFmtId="180" fontId="0" fillId="0" borderId="0" xfId="15" applyNumberFormat="1" applyFont="1" applyAlignment="1">
      <alignment horizontal="right"/>
    </xf>
    <xf numFmtId="44" fontId="12" fillId="0" borderId="26" xfId="17" applyFont="1" applyBorder="1" applyAlignment="1" quotePrefix="1">
      <alignment horizontal="left"/>
    </xf>
    <xf numFmtId="44" fontId="14" fillId="0" borderId="22" xfId="17" applyFont="1" applyBorder="1" applyAlignment="1" quotePrefix="1">
      <alignment horizontal="left"/>
    </xf>
    <xf numFmtId="0" fontId="0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23" xfId="0" applyFont="1" applyBorder="1" applyAlignment="1" quotePrefix="1">
      <alignment horizontal="left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 quotePrefix="1">
      <alignment horizontal="left"/>
    </xf>
    <xf numFmtId="0" fontId="14" fillId="0" borderId="22" xfId="0" applyFont="1" applyBorder="1" applyAlignment="1">
      <alignment horizontal="left"/>
    </xf>
    <xf numFmtId="0" fontId="15" fillId="0" borderId="23" xfId="0" applyFont="1" applyBorder="1" applyAlignment="1" quotePrefix="1">
      <alignment horizontal="left"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15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4" fillId="0" borderId="23" xfId="0" applyFont="1" applyFill="1" applyBorder="1" applyAlignment="1" quotePrefix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 quotePrefix="1">
      <alignment horizontal="left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2" fillId="0" borderId="24" xfId="0" applyFont="1" applyBorder="1" applyAlignment="1" quotePrefix="1">
      <alignment horizontal="left"/>
    </xf>
    <xf numFmtId="0" fontId="12" fillId="0" borderId="25" xfId="0" applyFont="1" applyBorder="1" applyAlignment="1" quotePrefix="1">
      <alignment horizontal="left"/>
    </xf>
    <xf numFmtId="0" fontId="12" fillId="0" borderId="0" xfId="0" applyFont="1" applyAlignment="1">
      <alignment/>
    </xf>
    <xf numFmtId="44" fontId="13" fillId="3" borderId="22" xfId="17" applyFont="1" applyFill="1" applyBorder="1" applyAlignment="1">
      <alignment horizontal="left"/>
    </xf>
    <xf numFmtId="44" fontId="13" fillId="0" borderId="23" xfId="17" applyFont="1" applyBorder="1" applyAlignment="1">
      <alignment horizontal="left"/>
    </xf>
    <xf numFmtId="0" fontId="14" fillId="0" borderId="22" xfId="0" applyFont="1" applyBorder="1" applyAlignment="1" quotePrefix="1">
      <alignment horizontal="left"/>
    </xf>
    <xf numFmtId="0" fontId="14" fillId="0" borderId="23" xfId="0" applyFont="1" applyBorder="1" applyAlignment="1">
      <alignment/>
    </xf>
    <xf numFmtId="0" fontId="12" fillId="0" borderId="23" xfId="0" applyFont="1" applyBorder="1" applyAlignment="1" quotePrefix="1">
      <alignment horizontal="left"/>
    </xf>
    <xf numFmtId="0" fontId="12" fillId="0" borderId="23" xfId="0" applyFont="1" applyBorder="1" applyAlignment="1">
      <alignment horizontal="left"/>
    </xf>
    <xf numFmtId="0" fontId="12" fillId="0" borderId="23" xfId="0" applyFont="1" applyBorder="1" applyAlignment="1">
      <alignment wrapText="1"/>
    </xf>
    <xf numFmtId="0" fontId="12" fillId="0" borderId="23" xfId="0" applyFont="1" applyFill="1" applyBorder="1" applyAlignment="1">
      <alignment wrapText="1"/>
    </xf>
    <xf numFmtId="170" fontId="13" fillId="3" borderId="22" xfId="0" applyNumberFormat="1" applyFont="1" applyFill="1" applyBorder="1" applyAlignment="1" quotePrefix="1">
      <alignment horizontal="left"/>
    </xf>
    <xf numFmtId="180" fontId="1" fillId="3" borderId="22" xfId="0" applyNumberFormat="1" applyFont="1" applyFill="1" applyBorder="1" applyAlignment="1">
      <alignment horizontal="right"/>
    </xf>
    <xf numFmtId="170" fontId="13" fillId="0" borderId="26" xfId="0" applyNumberFormat="1" applyFont="1" applyFill="1" applyBorder="1" applyAlignment="1" quotePrefix="1">
      <alignment horizontal="left"/>
    </xf>
    <xf numFmtId="180" fontId="1" fillId="0" borderId="26" xfId="0" applyNumberFormat="1" applyFont="1" applyFill="1" applyBorder="1" applyAlignment="1">
      <alignment horizontal="right"/>
    </xf>
    <xf numFmtId="180" fontId="0" fillId="0" borderId="23" xfId="0" applyNumberFormat="1" applyFont="1" applyBorder="1" applyAlignment="1">
      <alignment horizontal="right"/>
    </xf>
    <xf numFmtId="180" fontId="0" fillId="0" borderId="23" xfId="0" applyNumberFormat="1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180" fontId="18" fillId="0" borderId="23" xfId="0" applyNumberFormat="1" applyFont="1" applyBorder="1" applyAlignment="1">
      <alignment horizontal="right"/>
    </xf>
    <xf numFmtId="180" fontId="14" fillId="0" borderId="23" xfId="0" applyNumberFormat="1" applyFont="1" applyFill="1" applyBorder="1" applyAlignment="1">
      <alignment/>
    </xf>
    <xf numFmtId="0" fontId="14" fillId="0" borderId="28" xfId="0" applyFont="1" applyBorder="1" applyAlignment="1">
      <alignment horizontal="left"/>
    </xf>
    <xf numFmtId="180" fontId="0" fillId="0" borderId="28" xfId="0" applyNumberFormat="1" applyFont="1" applyBorder="1" applyAlignment="1">
      <alignment horizontal="right"/>
    </xf>
    <xf numFmtId="180" fontId="14" fillId="0" borderId="22" xfId="0" applyNumberFormat="1" applyFont="1" applyBorder="1" applyAlignment="1">
      <alignment/>
    </xf>
    <xf numFmtId="0" fontId="0" fillId="0" borderId="26" xfId="0" applyFont="1" applyBorder="1" applyAlignment="1">
      <alignment/>
    </xf>
    <xf numFmtId="180" fontId="0" fillId="0" borderId="26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0" fontId="14" fillId="0" borderId="26" xfId="0" applyFont="1" applyBorder="1" applyAlignment="1">
      <alignment horizontal="left"/>
    </xf>
    <xf numFmtId="0" fontId="17" fillId="0" borderId="23" xfId="0" applyFont="1" applyBorder="1" applyAlignment="1">
      <alignment/>
    </xf>
    <xf numFmtId="0" fontId="14" fillId="0" borderId="26" xfId="0" applyFont="1" applyBorder="1" applyAlignment="1" quotePrefix="1">
      <alignment horizontal="left"/>
    </xf>
    <xf numFmtId="3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/>
    </xf>
    <xf numFmtId="180" fontId="14" fillId="0" borderId="26" xfId="0" applyNumberFormat="1" applyFont="1" applyBorder="1" applyAlignment="1">
      <alignment horizontal="right"/>
    </xf>
    <xf numFmtId="0" fontId="18" fillId="0" borderId="23" xfId="0" applyFont="1" applyBorder="1" applyAlignment="1">
      <alignment horizontal="left"/>
    </xf>
    <xf numFmtId="180" fontId="14" fillId="0" borderId="26" xfId="0" applyNumberFormat="1" applyFont="1" applyBorder="1" applyAlignment="1">
      <alignment/>
    </xf>
    <xf numFmtId="0" fontId="12" fillId="0" borderId="26" xfId="0" applyFont="1" applyFill="1" applyBorder="1" applyAlignment="1">
      <alignment/>
    </xf>
    <xf numFmtId="180" fontId="0" fillId="0" borderId="23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0" fontId="12" fillId="0" borderId="22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/>
    </xf>
    <xf numFmtId="180" fontId="1" fillId="0" borderId="17" xfId="15" applyNumberFormat="1" applyFont="1" applyBorder="1" applyAlignment="1">
      <alignment horizontal="right"/>
    </xf>
    <xf numFmtId="0" fontId="12" fillId="0" borderId="29" xfId="0" applyFont="1" applyBorder="1" applyAlignment="1">
      <alignment/>
    </xf>
    <xf numFmtId="180" fontId="10" fillId="0" borderId="13" xfId="0" applyNumberFormat="1" applyFont="1" applyBorder="1" applyAlignment="1">
      <alignment/>
    </xf>
    <xf numFmtId="171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43" fontId="10" fillId="0" borderId="13" xfId="15" applyFont="1" applyBorder="1" applyAlignment="1" quotePrefix="1">
      <alignment/>
    </xf>
    <xf numFmtId="0" fontId="10" fillId="0" borderId="0" xfId="0" applyFont="1" applyBorder="1" applyAlignment="1">
      <alignment/>
    </xf>
    <xf numFmtId="43" fontId="10" fillId="0" borderId="0" xfId="15" applyFont="1" applyBorder="1" applyAlignment="1" quotePrefix="1">
      <alignment/>
    </xf>
    <xf numFmtId="43" fontId="10" fillId="0" borderId="13" xfId="15" applyFont="1" applyBorder="1" applyAlignment="1">
      <alignment/>
    </xf>
    <xf numFmtId="43" fontId="10" fillId="0" borderId="13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80" fontId="1" fillId="0" borderId="0" xfId="0" applyNumberFormat="1" applyFont="1" applyAlignment="1">
      <alignment/>
    </xf>
    <xf numFmtId="180" fontId="0" fillId="0" borderId="7" xfId="0" applyNumberFormat="1" applyBorder="1" applyAlignment="1">
      <alignment/>
    </xf>
    <xf numFmtId="180" fontId="0" fillId="0" borderId="8" xfId="15" applyNumberFormat="1" applyBorder="1" applyAlignment="1">
      <alignment/>
    </xf>
    <xf numFmtId="180" fontId="0" fillId="0" borderId="9" xfId="15" applyNumberFormat="1" applyBorder="1" applyAlignment="1">
      <alignment/>
    </xf>
    <xf numFmtId="180" fontId="0" fillId="0" borderId="0" xfId="15" applyNumberFormat="1" applyAlignment="1">
      <alignment/>
    </xf>
    <xf numFmtId="180" fontId="1" fillId="0" borderId="0" xfId="15" applyNumberFormat="1" applyFont="1" applyAlignment="1">
      <alignment/>
    </xf>
    <xf numFmtId="180" fontId="0" fillId="0" borderId="7" xfId="15" applyNumberFormat="1" applyBorder="1" applyAlignment="1">
      <alignment/>
    </xf>
    <xf numFmtId="180" fontId="0" fillId="0" borderId="6" xfId="15" applyNumberFormat="1" applyBorder="1" applyAlignment="1">
      <alignment/>
    </xf>
    <xf numFmtId="180" fontId="1" fillId="0" borderId="6" xfId="15" applyNumberFormat="1" applyFont="1" applyBorder="1" applyAlignment="1">
      <alignment/>
    </xf>
    <xf numFmtId="180" fontId="0" fillId="0" borderId="8" xfId="15" applyNumberFormat="1" applyFont="1" applyBorder="1" applyAlignment="1">
      <alignment/>
    </xf>
    <xf numFmtId="43" fontId="0" fillId="0" borderId="30" xfId="15" applyBorder="1" applyAlignment="1">
      <alignment/>
    </xf>
    <xf numFmtId="0" fontId="6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43" fontId="1" fillId="0" borderId="0" xfId="15" applyFont="1" applyAlignment="1">
      <alignment horizontal="center"/>
    </xf>
    <xf numFmtId="182" fontId="1" fillId="0" borderId="0" xfId="15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0" fontId="1" fillId="3" borderId="31" xfId="0" applyNumberFormat="1" applyFont="1" applyFill="1" applyBorder="1" applyAlignment="1">
      <alignment horizontal="center" wrapText="1"/>
    </xf>
    <xf numFmtId="180" fontId="1" fillId="0" borderId="31" xfId="0" applyNumberFormat="1" applyFont="1" applyFill="1" applyBorder="1" applyAlignment="1">
      <alignment horizontal="center" wrapText="1"/>
    </xf>
    <xf numFmtId="180" fontId="1" fillId="0" borderId="32" xfId="15" applyNumberFormat="1" applyFont="1" applyBorder="1" applyAlignment="1">
      <alignment horizontal="right"/>
    </xf>
    <xf numFmtId="180" fontId="0" fillId="0" borderId="32" xfId="15" applyNumberFormat="1" applyFont="1" applyBorder="1" applyAlignment="1">
      <alignment horizontal="right"/>
    </xf>
    <xf numFmtId="180" fontId="0" fillId="0" borderId="32" xfId="15" applyNumberFormat="1" applyFont="1" applyFill="1" applyBorder="1" applyAlignment="1">
      <alignment horizontal="right"/>
    </xf>
    <xf numFmtId="180" fontId="1" fillId="4" borderId="33" xfId="15" applyNumberFormat="1" applyFont="1" applyFill="1" applyBorder="1" applyAlignment="1">
      <alignment/>
    </xf>
    <xf numFmtId="180" fontId="0" fillId="3" borderId="31" xfId="15" applyNumberFormat="1" applyFont="1" applyFill="1" applyBorder="1" applyAlignment="1">
      <alignment horizontal="right"/>
    </xf>
    <xf numFmtId="180" fontId="0" fillId="0" borderId="34" xfId="15" applyNumberFormat="1" applyFont="1" applyBorder="1" applyAlignment="1">
      <alignment horizontal="right"/>
    </xf>
    <xf numFmtId="180" fontId="14" fillId="0" borderId="31" xfId="15" applyNumberFormat="1" applyFont="1" applyBorder="1" applyAlignment="1">
      <alignment/>
    </xf>
    <xf numFmtId="180" fontId="0" fillId="0" borderId="32" xfId="15" applyNumberFormat="1" applyFont="1" applyBorder="1" applyAlignment="1">
      <alignment/>
    </xf>
    <xf numFmtId="0" fontId="0" fillId="0" borderId="32" xfId="0" applyFont="1" applyBorder="1" applyAlignment="1">
      <alignment/>
    </xf>
    <xf numFmtId="180" fontId="0" fillId="0" borderId="31" xfId="15" applyNumberFormat="1" applyFont="1" applyBorder="1" applyAlignment="1">
      <alignment/>
    </xf>
    <xf numFmtId="180" fontId="0" fillId="0" borderId="31" xfId="15" applyNumberFormat="1" applyFont="1" applyBorder="1" applyAlignment="1">
      <alignment horizontal="right"/>
    </xf>
    <xf numFmtId="180" fontId="0" fillId="0" borderId="35" xfId="15" applyNumberFormat="1" applyFont="1" applyBorder="1" applyAlignment="1">
      <alignment horizontal="right"/>
    </xf>
    <xf numFmtId="180" fontId="14" fillId="0" borderId="31" xfId="15" applyNumberFormat="1" applyFont="1" applyBorder="1" applyAlignment="1">
      <alignment horizontal="left"/>
    </xf>
    <xf numFmtId="0" fontId="0" fillId="0" borderId="32" xfId="0" applyFont="1" applyFill="1" applyBorder="1" applyAlignment="1">
      <alignment/>
    </xf>
    <xf numFmtId="180" fontId="14" fillId="0" borderId="31" xfId="15" applyNumberFormat="1" applyFont="1" applyFill="1" applyBorder="1" applyAlignment="1">
      <alignment horizontal="right"/>
    </xf>
    <xf numFmtId="180" fontId="14" fillId="0" borderId="32" xfId="15" applyNumberFormat="1" applyFont="1" applyFill="1" applyBorder="1" applyAlignment="1">
      <alignment horizontal="right"/>
    </xf>
    <xf numFmtId="180" fontId="14" fillId="0" borderId="31" xfId="15" applyNumberFormat="1" applyFont="1" applyBorder="1" applyAlignment="1">
      <alignment horizontal="right"/>
    </xf>
    <xf numFmtId="180" fontId="14" fillId="0" borderId="32" xfId="15" applyNumberFormat="1" applyFont="1" applyBorder="1" applyAlignment="1">
      <alignment horizontal="right"/>
    </xf>
    <xf numFmtId="180" fontId="12" fillId="0" borderId="33" xfId="15" applyNumberFormat="1" applyFont="1" applyBorder="1" applyAlignment="1">
      <alignment/>
    </xf>
    <xf numFmtId="180" fontId="14" fillId="0" borderId="32" xfId="15" applyNumberFormat="1" applyFont="1" applyBorder="1" applyAlignment="1">
      <alignment/>
    </xf>
    <xf numFmtId="180" fontId="0" fillId="3" borderId="31" xfId="15" applyNumberFormat="1" applyFont="1" applyFill="1" applyBorder="1" applyAlignment="1">
      <alignment/>
    </xf>
    <xf numFmtId="180" fontId="12" fillId="0" borderId="33" xfId="15" applyNumberFormat="1" applyFont="1" applyBorder="1" applyAlignment="1">
      <alignment horizontal="right"/>
    </xf>
    <xf numFmtId="180" fontId="1" fillId="3" borderId="31" xfId="0" applyNumberFormat="1" applyFont="1" applyFill="1" applyBorder="1" applyAlignment="1">
      <alignment horizontal="right"/>
    </xf>
    <xf numFmtId="180" fontId="1" fillId="0" borderId="34" xfId="0" applyNumberFormat="1" applyFont="1" applyFill="1" applyBorder="1" applyAlignment="1">
      <alignment horizontal="right"/>
    </xf>
    <xf numFmtId="180" fontId="0" fillId="0" borderId="32" xfId="0" applyNumberFormat="1" applyFont="1" applyBorder="1" applyAlignment="1">
      <alignment horizontal="right"/>
    </xf>
    <xf numFmtId="180" fontId="14" fillId="0" borderId="32" xfId="0" applyNumberFormat="1" applyFont="1" applyFill="1" applyBorder="1" applyAlignment="1">
      <alignment/>
    </xf>
    <xf numFmtId="180" fontId="0" fillId="0" borderId="35" xfId="0" applyNumberFormat="1" applyFont="1" applyBorder="1" applyAlignment="1">
      <alignment horizontal="right"/>
    </xf>
    <xf numFmtId="180" fontId="14" fillId="0" borderId="31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Font="1" applyBorder="1" applyAlignment="1">
      <alignment/>
    </xf>
    <xf numFmtId="0" fontId="0" fillId="0" borderId="34" xfId="0" applyFont="1" applyBorder="1" applyAlignment="1">
      <alignment/>
    </xf>
    <xf numFmtId="3" fontId="14" fillId="0" borderId="34" xfId="0" applyNumberFormat="1" applyFont="1" applyBorder="1" applyAlignment="1">
      <alignment horizontal="right"/>
    </xf>
    <xf numFmtId="180" fontId="14" fillId="0" borderId="34" xfId="0" applyNumberFormat="1" applyFont="1" applyBorder="1" applyAlignment="1">
      <alignment horizontal="right"/>
    </xf>
    <xf numFmtId="180" fontId="14" fillId="0" borderId="34" xfId="0" applyNumberFormat="1" applyFont="1" applyBorder="1" applyAlignment="1">
      <alignment/>
    </xf>
    <xf numFmtId="180" fontId="0" fillId="0" borderId="34" xfId="15" applyNumberFormat="1" applyFont="1" applyFill="1" applyBorder="1" applyAlignment="1">
      <alignment horizontal="right"/>
    </xf>
    <xf numFmtId="180" fontId="0" fillId="0" borderId="32" xfId="0" applyNumberFormat="1" applyFont="1" applyFill="1" applyBorder="1" applyAlignment="1">
      <alignment horizontal="right"/>
    </xf>
    <xf numFmtId="180" fontId="0" fillId="0" borderId="31" xfId="15" applyNumberFormat="1" applyFont="1" applyFill="1" applyBorder="1" applyAlignment="1">
      <alignment horizontal="right"/>
    </xf>
    <xf numFmtId="180" fontId="1" fillId="0" borderId="36" xfId="15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2" fillId="0" borderId="2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5" borderId="38" xfId="0" applyNumberFormat="1" applyFont="1" applyFill="1" applyBorder="1" applyAlignment="1" quotePrefix="1">
      <alignment horizontal="center"/>
    </xf>
    <xf numFmtId="0" fontId="0" fillId="0" borderId="37" xfId="0" applyBorder="1" applyAlignment="1">
      <alignment/>
    </xf>
    <xf numFmtId="180" fontId="1" fillId="0" borderId="38" xfId="0" applyNumberFormat="1" applyFont="1" applyFill="1" applyBorder="1" applyAlignment="1">
      <alignment horizontal="center" wrapText="1"/>
    </xf>
    <xf numFmtId="9" fontId="0" fillId="0" borderId="37" xfId="21" applyBorder="1" applyAlignment="1">
      <alignment/>
    </xf>
    <xf numFmtId="0" fontId="1" fillId="0" borderId="38" xfId="0" applyNumberFormat="1" applyFont="1" applyFill="1" applyBorder="1" applyAlignment="1" quotePrefix="1">
      <alignment horizontal="center"/>
    </xf>
    <xf numFmtId="0" fontId="1" fillId="5" borderId="38" xfId="0" applyNumberFormat="1" applyFont="1" applyFill="1" applyBorder="1" applyAlignment="1">
      <alignment horizontal="center"/>
    </xf>
    <xf numFmtId="180" fontId="0" fillId="5" borderId="39" xfId="15" applyNumberFormat="1" applyFont="1" applyFill="1" applyBorder="1" applyAlignment="1">
      <alignment horizontal="right"/>
    </xf>
    <xf numFmtId="180" fontId="1" fillId="5" borderId="24" xfId="15" applyNumberFormat="1" applyFont="1" applyFill="1" applyBorder="1" applyAlignment="1">
      <alignment/>
    </xf>
    <xf numFmtId="9" fontId="0" fillId="0" borderId="40" xfId="21" applyBorder="1" applyAlignment="1">
      <alignment/>
    </xf>
    <xf numFmtId="180" fontId="0" fillId="5" borderId="20" xfId="15" applyNumberFormat="1" applyFont="1" applyFill="1" applyBorder="1" applyAlignment="1">
      <alignment horizontal="right"/>
    </xf>
    <xf numFmtId="180" fontId="0" fillId="5" borderId="38" xfId="15" applyNumberFormat="1" applyFont="1" applyFill="1" applyBorder="1" applyAlignment="1">
      <alignment horizontal="right"/>
    </xf>
    <xf numFmtId="180" fontId="0" fillId="5" borderId="41" xfId="15" applyNumberFormat="1" applyFont="1" applyFill="1" applyBorder="1" applyAlignment="1">
      <alignment horizontal="right"/>
    </xf>
    <xf numFmtId="180" fontId="14" fillId="5" borderId="38" xfId="15" applyNumberFormat="1" applyFont="1" applyFill="1" applyBorder="1" applyAlignment="1">
      <alignment/>
    </xf>
    <xf numFmtId="180" fontId="0" fillId="5" borderId="39" xfId="15" applyNumberFormat="1" applyFont="1" applyFill="1" applyBorder="1" applyAlignment="1">
      <alignment/>
    </xf>
    <xf numFmtId="180" fontId="0" fillId="5" borderId="38" xfId="15" applyNumberFormat="1" applyFont="1" applyFill="1" applyBorder="1" applyAlignment="1">
      <alignment/>
    </xf>
    <xf numFmtId="180" fontId="0" fillId="5" borderId="42" xfId="15" applyNumberFormat="1" applyFont="1" applyFill="1" applyBorder="1" applyAlignment="1">
      <alignment horizontal="right"/>
    </xf>
    <xf numFmtId="180" fontId="14" fillId="5" borderId="38" xfId="15" applyNumberFormat="1" applyFont="1" applyFill="1" applyBorder="1" applyAlignment="1">
      <alignment horizontal="left"/>
    </xf>
    <xf numFmtId="0" fontId="0" fillId="5" borderId="39" xfId="0" applyFont="1" applyFill="1" applyBorder="1" applyAlignment="1">
      <alignment/>
    </xf>
    <xf numFmtId="180" fontId="14" fillId="5" borderId="38" xfId="15" applyNumberFormat="1" applyFont="1" applyFill="1" applyBorder="1" applyAlignment="1">
      <alignment horizontal="right"/>
    </xf>
    <xf numFmtId="180" fontId="14" fillId="5" borderId="39" xfId="15" applyNumberFormat="1" applyFont="1" applyFill="1" applyBorder="1" applyAlignment="1">
      <alignment horizontal="right"/>
    </xf>
    <xf numFmtId="180" fontId="12" fillId="5" borderId="24" xfId="15" applyNumberFormat="1" applyFont="1" applyFill="1" applyBorder="1" applyAlignment="1">
      <alignment/>
    </xf>
    <xf numFmtId="180" fontId="14" fillId="5" borderId="39" xfId="15" applyNumberFormat="1" applyFont="1" applyFill="1" applyBorder="1" applyAlignment="1">
      <alignment/>
    </xf>
    <xf numFmtId="0" fontId="0" fillId="5" borderId="20" xfId="0" applyFont="1" applyFill="1" applyBorder="1" applyAlignment="1">
      <alignment/>
    </xf>
    <xf numFmtId="180" fontId="12" fillId="5" borderId="24" xfId="15" applyNumberFormat="1" applyFont="1" applyFill="1" applyBorder="1" applyAlignment="1">
      <alignment horizontal="right"/>
    </xf>
    <xf numFmtId="180" fontId="1" fillId="5" borderId="38" xfId="0" applyNumberFormat="1" applyFont="1" applyFill="1" applyBorder="1" applyAlignment="1">
      <alignment horizontal="right"/>
    </xf>
    <xf numFmtId="180" fontId="1" fillId="5" borderId="41" xfId="0" applyNumberFormat="1" applyFont="1" applyFill="1" applyBorder="1" applyAlignment="1">
      <alignment horizontal="right"/>
    </xf>
    <xf numFmtId="180" fontId="0" fillId="5" borderId="39" xfId="0" applyNumberFormat="1" applyFont="1" applyFill="1" applyBorder="1" applyAlignment="1">
      <alignment horizontal="right"/>
    </xf>
    <xf numFmtId="180" fontId="0" fillId="5" borderId="42" xfId="0" applyNumberFormat="1" applyFont="1" applyFill="1" applyBorder="1" applyAlignment="1">
      <alignment horizontal="right"/>
    </xf>
    <xf numFmtId="180" fontId="14" fillId="5" borderId="38" xfId="0" applyNumberFormat="1" applyFont="1" applyFill="1" applyBorder="1" applyAlignment="1">
      <alignment/>
    </xf>
    <xf numFmtId="180" fontId="0" fillId="5" borderId="41" xfId="0" applyNumberFormat="1" applyFont="1" applyFill="1" applyBorder="1" applyAlignment="1">
      <alignment/>
    </xf>
    <xf numFmtId="180" fontId="0" fillId="5" borderId="39" xfId="0" applyNumberFormat="1" applyFont="1" applyFill="1" applyBorder="1" applyAlignment="1">
      <alignment/>
    </xf>
    <xf numFmtId="0" fontId="0" fillId="5" borderId="41" xfId="0" applyFont="1" applyFill="1" applyBorder="1" applyAlignment="1">
      <alignment/>
    </xf>
    <xf numFmtId="3" fontId="14" fillId="5" borderId="41" xfId="0" applyNumberFormat="1" applyFont="1" applyFill="1" applyBorder="1" applyAlignment="1">
      <alignment horizontal="right"/>
    </xf>
    <xf numFmtId="180" fontId="14" fillId="5" borderId="41" xfId="0" applyNumberFormat="1" applyFont="1" applyFill="1" applyBorder="1" applyAlignment="1">
      <alignment horizontal="right"/>
    </xf>
    <xf numFmtId="180" fontId="14" fillId="5" borderId="41" xfId="0" applyNumberFormat="1" applyFont="1" applyFill="1" applyBorder="1" applyAlignment="1">
      <alignment/>
    </xf>
    <xf numFmtId="180" fontId="14" fillId="5" borderId="39" xfId="0" applyNumberFormat="1" applyFont="1" applyFill="1" applyBorder="1" applyAlignment="1">
      <alignment/>
    </xf>
    <xf numFmtId="180" fontId="1" fillId="5" borderId="16" xfId="15" applyNumberFormat="1" applyFont="1" applyFill="1" applyBorder="1" applyAlignment="1">
      <alignment horizontal="right"/>
    </xf>
    <xf numFmtId="180" fontId="1" fillId="5" borderId="43" xfId="15" applyNumberFormat="1" applyFont="1" applyFill="1" applyBorder="1" applyAlignment="1">
      <alignment horizontal="right"/>
    </xf>
    <xf numFmtId="9" fontId="0" fillId="0" borderId="4" xfId="21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/>
    </xf>
    <xf numFmtId="0" fontId="0" fillId="0" borderId="45" xfId="0" applyBorder="1" applyAlignment="1">
      <alignment/>
    </xf>
    <xf numFmtId="180" fontId="0" fillId="0" borderId="45" xfId="0" applyNumberFormat="1" applyBorder="1" applyAlignment="1">
      <alignment/>
    </xf>
    <xf numFmtId="180" fontId="0" fillId="0" borderId="46" xfId="0" applyNumberFormat="1" applyBorder="1" applyAlignment="1">
      <alignment/>
    </xf>
    <xf numFmtId="180" fontId="0" fillId="0" borderId="47" xfId="0" applyNumberFormat="1" applyBorder="1" applyAlignment="1">
      <alignment/>
    </xf>
    <xf numFmtId="180" fontId="0" fillId="0" borderId="48" xfId="0" applyNumberForma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82" fontId="1" fillId="0" borderId="45" xfId="15" applyNumberFormat="1" applyFont="1" applyBorder="1" applyAlignment="1">
      <alignment horizontal="center"/>
    </xf>
    <xf numFmtId="182" fontId="1" fillId="0" borderId="29" xfId="15" applyNumberFormat="1" applyFont="1" applyBorder="1" applyAlignment="1">
      <alignment horizontal="center"/>
    </xf>
    <xf numFmtId="182" fontId="1" fillId="0" borderId="48" xfId="15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B35" sqref="B35"/>
    </sheetView>
  </sheetViews>
  <sheetFormatPr defaultColWidth="9.140625" defaultRowHeight="12.75"/>
  <sheetData>
    <row r="1" ht="12.75">
      <c r="A1" s="4" t="s">
        <v>102</v>
      </c>
    </row>
    <row r="3" ht="12.75">
      <c r="A3" s="4" t="s">
        <v>199</v>
      </c>
    </row>
    <row r="8" spans="1:2" ht="12.75">
      <c r="A8">
        <v>1</v>
      </c>
      <c r="B8" t="s">
        <v>105</v>
      </c>
    </row>
    <row r="10" spans="1:2" ht="12.75">
      <c r="A10">
        <v>2</v>
      </c>
      <c r="B10" t="s">
        <v>200</v>
      </c>
    </row>
    <row r="12" spans="1:2" ht="12.75">
      <c r="A12">
        <v>3</v>
      </c>
      <c r="B12" t="s">
        <v>204</v>
      </c>
    </row>
    <row r="14" spans="1:2" ht="12.75">
      <c r="A14">
        <v>4</v>
      </c>
      <c r="B14" t="s">
        <v>201</v>
      </c>
    </row>
    <row r="16" spans="1:2" ht="12.75">
      <c r="A16">
        <v>5</v>
      </c>
      <c r="B16" t="s">
        <v>202</v>
      </c>
    </row>
    <row r="18" spans="1:2" ht="12.75">
      <c r="A18">
        <v>6</v>
      </c>
      <c r="B18" t="s">
        <v>418</v>
      </c>
    </row>
    <row r="20" spans="1:2" ht="12.75">
      <c r="A20" s="192" t="s">
        <v>416</v>
      </c>
      <c r="B20" t="s">
        <v>39</v>
      </c>
    </row>
    <row r="22" spans="1:2" ht="12.75">
      <c r="A22" s="192" t="s">
        <v>417</v>
      </c>
      <c r="B22" t="s">
        <v>419</v>
      </c>
    </row>
    <row r="24" spans="1:2" ht="12.75">
      <c r="A24">
        <v>7</v>
      </c>
      <c r="B24" t="s">
        <v>203</v>
      </c>
    </row>
    <row r="26" spans="1:2" ht="12.75">
      <c r="A26">
        <v>8</v>
      </c>
      <c r="B26" t="s">
        <v>203</v>
      </c>
    </row>
    <row r="28" spans="1:2" ht="12.75">
      <c r="A28">
        <v>9</v>
      </c>
      <c r="B28" t="s">
        <v>203</v>
      </c>
    </row>
    <row r="30" spans="1:2" ht="12.75">
      <c r="A30">
        <v>10</v>
      </c>
      <c r="B30" t="s">
        <v>203</v>
      </c>
    </row>
    <row r="32" spans="1:2" ht="12.75">
      <c r="A32">
        <v>11</v>
      </c>
      <c r="B32" t="s">
        <v>203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8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69" sqref="G69"/>
    </sheetView>
  </sheetViews>
  <sheetFormatPr defaultColWidth="9.140625" defaultRowHeight="12.75"/>
  <cols>
    <col min="1" max="1" width="9.7109375" style="0" customWidth="1"/>
    <col min="2" max="2" width="26.00390625" style="0" customWidth="1"/>
    <col min="3" max="3" width="13.140625" style="0" customWidth="1"/>
    <col min="4" max="4" width="14.8515625" style="0" customWidth="1"/>
    <col min="5" max="5" width="17.140625" style="0" bestFit="1" customWidth="1"/>
    <col min="6" max="6" width="1.421875" style="0" customWidth="1"/>
    <col min="7" max="7" width="17.140625" style="0" bestFit="1" customWidth="1"/>
    <col min="8" max="8" width="2.00390625" style="0" customWidth="1"/>
    <col min="9" max="9" width="17.140625" style="0" bestFit="1" customWidth="1"/>
    <col min="10" max="10" width="18.28125" style="55" bestFit="1" customWidth="1"/>
  </cols>
  <sheetData>
    <row r="1" spans="1:11" ht="20.25">
      <c r="A1" s="31" t="s">
        <v>102</v>
      </c>
      <c r="K1" s="55">
        <v>4</v>
      </c>
    </row>
    <row r="3" ht="13.5" thickBot="1">
      <c r="A3" s="4" t="s">
        <v>198</v>
      </c>
    </row>
    <row r="4" spans="5:10" ht="21" thickBot="1">
      <c r="E4" s="190" t="s">
        <v>148</v>
      </c>
      <c r="F4" s="191"/>
      <c r="G4" s="190" t="s">
        <v>149</v>
      </c>
      <c r="H4" s="191"/>
      <c r="I4" s="190" t="s">
        <v>150</v>
      </c>
      <c r="J4" s="189" t="s">
        <v>170</v>
      </c>
    </row>
    <row r="5" spans="5:10" ht="21" thickBot="1">
      <c r="E5" s="55"/>
      <c r="F5" s="55"/>
      <c r="G5" s="55"/>
      <c r="H5" s="55"/>
      <c r="I5" s="55"/>
      <c r="J5" s="30"/>
    </row>
    <row r="6" spans="1:10" ht="13.5" thickBot="1">
      <c r="A6" s="69" t="s">
        <v>107</v>
      </c>
      <c r="B6" s="70"/>
      <c r="C6" s="70"/>
      <c r="D6" s="70"/>
      <c r="E6" s="71">
        <v>19368000</v>
      </c>
      <c r="F6" s="72"/>
      <c r="G6" s="71">
        <v>39745000</v>
      </c>
      <c r="H6" s="72"/>
      <c r="I6" s="73">
        <f>G6-E6</f>
        <v>20377000</v>
      </c>
      <c r="J6" s="74">
        <f>E6/G6*100%*100</f>
        <v>48.730657944395524</v>
      </c>
    </row>
    <row r="7" spans="5:10" ht="12.75" hidden="1">
      <c r="E7" s="20"/>
      <c r="F7" s="2"/>
      <c r="G7" s="20"/>
      <c r="H7" s="2"/>
      <c r="I7" s="20"/>
      <c r="J7" s="61">
        <v>0</v>
      </c>
    </row>
    <row r="8" spans="1:10" ht="13.5" thickBot="1">
      <c r="A8" s="69" t="s">
        <v>136</v>
      </c>
      <c r="B8" s="70"/>
      <c r="C8" s="70"/>
      <c r="D8" s="70"/>
      <c r="E8" s="73">
        <f>14766.93+71358.3+71029.81+24382.23+5472+45945.42+10300+52430.88+9040.5+17905.4+38650.36</f>
        <v>361281.83</v>
      </c>
      <c r="F8" s="75"/>
      <c r="G8" s="73">
        <v>305000</v>
      </c>
      <c r="H8" s="75"/>
      <c r="I8" s="73">
        <f>G8-E8</f>
        <v>-56281.830000000016</v>
      </c>
      <c r="J8" s="74">
        <f aca="true" t="shared" si="0" ref="J8:J13">E8/G8*100%*100</f>
        <v>118.45305901639345</v>
      </c>
    </row>
    <row r="9" spans="1:10" ht="12.75" hidden="1">
      <c r="A9">
        <v>0</v>
      </c>
      <c r="E9" s="20"/>
      <c r="F9" s="2"/>
      <c r="G9" s="20"/>
      <c r="H9" s="2"/>
      <c r="I9" s="20"/>
      <c r="J9" s="61" t="e">
        <f t="shared" si="0"/>
        <v>#DIV/0!</v>
      </c>
    </row>
    <row r="10" spans="5:10" ht="12.75" hidden="1">
      <c r="E10" s="20"/>
      <c r="F10" s="2"/>
      <c r="G10" s="20"/>
      <c r="H10" s="2"/>
      <c r="I10" s="20"/>
      <c r="J10" s="61" t="e">
        <f t="shared" si="0"/>
        <v>#DIV/0!</v>
      </c>
    </row>
    <row r="11" spans="1:10" ht="13.5" thickBot="1">
      <c r="A11" s="69" t="s">
        <v>39</v>
      </c>
      <c r="B11" s="70"/>
      <c r="C11" s="70"/>
      <c r="D11" s="70"/>
      <c r="E11" s="76">
        <f>'programs expenditure  2'!C22</f>
        <v>11223535.16</v>
      </c>
      <c r="F11" s="75"/>
      <c r="G11" s="73">
        <v>26631653</v>
      </c>
      <c r="H11" s="75"/>
      <c r="I11" s="73">
        <f>G11-E11</f>
        <v>15408117.84</v>
      </c>
      <c r="J11" s="74">
        <f t="shared" si="0"/>
        <v>42.14359191297664</v>
      </c>
    </row>
    <row r="12" spans="5:10" ht="12.75" hidden="1">
      <c r="E12" s="20">
        <v>0</v>
      </c>
      <c r="F12" s="2"/>
      <c r="G12" s="20">
        <v>0</v>
      </c>
      <c r="H12" s="2"/>
      <c r="I12" s="20">
        <v>0</v>
      </c>
      <c r="J12" s="61" t="e">
        <f t="shared" si="0"/>
        <v>#DIV/0!</v>
      </c>
    </row>
    <row r="13" spans="5:10" ht="12.75" hidden="1">
      <c r="E13" s="20">
        <v>0</v>
      </c>
      <c r="F13" s="2"/>
      <c r="G13" s="20">
        <v>0</v>
      </c>
      <c r="H13" s="2"/>
      <c r="I13" s="20"/>
      <c r="J13" s="61" t="e">
        <f t="shared" si="0"/>
        <v>#DIV/0!</v>
      </c>
    </row>
    <row r="14" spans="1:10" ht="12.75">
      <c r="A14" s="77" t="s">
        <v>137</v>
      </c>
      <c r="B14" s="78"/>
      <c r="C14" s="78"/>
      <c r="D14" s="78"/>
      <c r="E14" s="23">
        <v>0</v>
      </c>
      <c r="F14" s="79"/>
      <c r="G14" s="23">
        <v>0</v>
      </c>
      <c r="H14" s="79"/>
      <c r="I14" s="23"/>
      <c r="J14" s="60"/>
    </row>
    <row r="15" spans="1:10" ht="12.75" hidden="1">
      <c r="A15" s="80"/>
      <c r="B15" s="13"/>
      <c r="C15" s="13"/>
      <c r="D15" s="13"/>
      <c r="E15" s="20"/>
      <c r="F15" s="14"/>
      <c r="G15" s="20">
        <v>0</v>
      </c>
      <c r="H15" s="14"/>
      <c r="I15" s="20"/>
      <c r="J15" s="61">
        <v>0</v>
      </c>
    </row>
    <row r="16" spans="1:10" ht="12.75">
      <c r="A16" s="80"/>
      <c r="B16" s="13" t="s">
        <v>27</v>
      </c>
      <c r="C16" s="13"/>
      <c r="D16" s="13"/>
      <c r="E16" s="20">
        <f>167707.7+405769.93</f>
        <v>573477.63</v>
      </c>
      <c r="F16" s="14"/>
      <c r="G16" s="20">
        <v>1627185</v>
      </c>
      <c r="H16" s="14"/>
      <c r="I16" s="20">
        <f aca="true" t="shared" si="1" ref="I16:I67">G16-E16</f>
        <v>1053707.37</v>
      </c>
      <c r="J16" s="61">
        <f>E16/G16*100%*100</f>
        <v>35.24354206805004</v>
      </c>
    </row>
    <row r="17" spans="1:10" ht="12.75" hidden="1">
      <c r="A17" s="80"/>
      <c r="B17" s="13"/>
      <c r="C17" s="13"/>
      <c r="D17" s="13"/>
      <c r="E17" s="20"/>
      <c r="F17" s="14"/>
      <c r="G17" s="20">
        <v>0</v>
      </c>
      <c r="H17" s="14"/>
      <c r="I17" s="20">
        <f t="shared" si="1"/>
        <v>0</v>
      </c>
      <c r="J17" s="61">
        <v>0</v>
      </c>
    </row>
    <row r="18" spans="1:10" ht="12.75">
      <c r="A18" s="80"/>
      <c r="B18" s="13" t="s">
        <v>138</v>
      </c>
      <c r="C18" s="13"/>
      <c r="D18" s="13"/>
      <c r="E18" s="20">
        <f>113724+336687.85+1030489.27+12801.99</f>
        <v>1493703.11</v>
      </c>
      <c r="F18" s="14"/>
      <c r="G18" s="20">
        <v>1192098</v>
      </c>
      <c r="H18" s="14"/>
      <c r="I18" s="20">
        <f t="shared" si="1"/>
        <v>-301605.1100000001</v>
      </c>
      <c r="J18" s="61">
        <f>E18/G18*100%*100</f>
        <v>125.300362050771</v>
      </c>
    </row>
    <row r="19" spans="1:10" ht="12.75" hidden="1">
      <c r="A19" s="80"/>
      <c r="B19" s="13"/>
      <c r="C19" s="13"/>
      <c r="D19" s="13"/>
      <c r="E19" s="20"/>
      <c r="F19" s="14"/>
      <c r="G19" s="20"/>
      <c r="H19" s="14"/>
      <c r="I19" s="20">
        <f t="shared" si="1"/>
        <v>0</v>
      </c>
      <c r="J19" s="61">
        <v>0</v>
      </c>
    </row>
    <row r="20" spans="1:10" ht="12.75" hidden="1">
      <c r="A20" s="80"/>
      <c r="B20" s="13"/>
      <c r="C20" s="13"/>
      <c r="D20" s="13"/>
      <c r="E20" s="20"/>
      <c r="F20" s="14"/>
      <c r="G20" s="20"/>
      <c r="H20" s="14"/>
      <c r="I20" s="20">
        <f t="shared" si="1"/>
        <v>0</v>
      </c>
      <c r="J20" s="61">
        <v>0</v>
      </c>
    </row>
    <row r="21" spans="1:10" ht="12.75" hidden="1">
      <c r="A21" s="80"/>
      <c r="B21" s="13"/>
      <c r="C21" s="13"/>
      <c r="D21" s="13"/>
      <c r="E21" s="20"/>
      <c r="F21" s="14"/>
      <c r="G21" s="20"/>
      <c r="H21" s="14"/>
      <c r="I21" s="20">
        <f t="shared" si="1"/>
        <v>0</v>
      </c>
      <c r="J21" s="61">
        <v>0</v>
      </c>
    </row>
    <row r="22" spans="1:10" ht="12.75">
      <c r="A22" s="80"/>
      <c r="B22" s="13" t="s">
        <v>139</v>
      </c>
      <c r="C22" s="13"/>
      <c r="D22" s="13"/>
      <c r="E22" s="20">
        <f>2250+14595.11+11528.68253195+86833.97</f>
        <v>115207.76253195</v>
      </c>
      <c r="F22" s="14"/>
      <c r="G22" s="20">
        <v>220000</v>
      </c>
      <c r="H22" s="14"/>
      <c r="I22" s="20">
        <f t="shared" si="1"/>
        <v>104792.23746805</v>
      </c>
      <c r="J22" s="61">
        <f>E22/G22*100%*100</f>
        <v>52.36716478725</v>
      </c>
    </row>
    <row r="23" spans="1:10" ht="12.75" hidden="1">
      <c r="A23" s="80"/>
      <c r="B23" s="13"/>
      <c r="C23" s="13"/>
      <c r="D23" s="13"/>
      <c r="E23" s="20"/>
      <c r="F23" s="14"/>
      <c r="G23" s="20"/>
      <c r="H23" s="14"/>
      <c r="I23" s="20">
        <f t="shared" si="1"/>
        <v>0</v>
      </c>
      <c r="J23" s="61">
        <v>0</v>
      </c>
    </row>
    <row r="24" spans="1:10" ht="12.75">
      <c r="A24" s="80"/>
      <c r="B24" s="13" t="s">
        <v>140</v>
      </c>
      <c r="C24" s="13"/>
      <c r="D24" s="13"/>
      <c r="E24" s="20">
        <f>47906.94+36007.07+24113.28+34268.81</f>
        <v>142296.1</v>
      </c>
      <c r="F24" s="14"/>
      <c r="G24" s="20">
        <v>372327</v>
      </c>
      <c r="H24" s="14"/>
      <c r="I24" s="20">
        <f t="shared" si="1"/>
        <v>230030.9</v>
      </c>
      <c r="J24" s="61">
        <f>E24/G24*100%*100</f>
        <v>38.2180448906472</v>
      </c>
    </row>
    <row r="25" spans="1:10" ht="12.75">
      <c r="A25" s="80"/>
      <c r="B25" s="13" t="s">
        <v>166</v>
      </c>
      <c r="C25" s="13"/>
      <c r="D25" s="13"/>
      <c r="E25" s="20">
        <v>332966.38</v>
      </c>
      <c r="F25" s="14"/>
      <c r="G25" s="20">
        <v>103957</v>
      </c>
      <c r="H25" s="14"/>
      <c r="I25" s="58">
        <f t="shared" si="1"/>
        <v>-229009.38</v>
      </c>
      <c r="J25" s="61">
        <f>E25/G25*100%*100</f>
        <v>320.292409361563</v>
      </c>
    </row>
    <row r="26" spans="1:10" ht="12.75">
      <c r="A26" s="80"/>
      <c r="B26" s="13" t="s">
        <v>141</v>
      </c>
      <c r="C26" s="13"/>
      <c r="D26" s="13"/>
      <c r="E26" s="20">
        <f>22800+79605.25+7822.68+224000+149997+44611.46+159010</f>
        <v>687846.39</v>
      </c>
      <c r="F26" s="14"/>
      <c r="G26" s="20">
        <v>683376</v>
      </c>
      <c r="H26" s="14"/>
      <c r="I26" s="58">
        <f t="shared" si="1"/>
        <v>-4470.390000000014</v>
      </c>
      <c r="J26" s="61">
        <f>E26/G26*100%*100</f>
        <v>100.65416256936153</v>
      </c>
    </row>
    <row r="27" spans="1:10" ht="12.75" hidden="1">
      <c r="A27" s="80"/>
      <c r="B27" s="13"/>
      <c r="C27" s="13"/>
      <c r="D27" s="13"/>
      <c r="E27" s="20"/>
      <c r="F27" s="14"/>
      <c r="G27" s="20"/>
      <c r="H27" s="14"/>
      <c r="I27" s="58">
        <f t="shared" si="1"/>
        <v>0</v>
      </c>
      <c r="J27" s="61">
        <v>0</v>
      </c>
    </row>
    <row r="28" spans="1:10" ht="12.75">
      <c r="A28" s="80"/>
      <c r="B28" s="13" t="s">
        <v>142</v>
      </c>
      <c r="C28" s="13"/>
      <c r="D28" s="13"/>
      <c r="E28" s="24">
        <f>1203485+19095+295299.99+256539.15</f>
        <v>1774419.14</v>
      </c>
      <c r="F28" s="14"/>
      <c r="G28" s="20">
        <v>972665</v>
      </c>
      <c r="H28" s="14"/>
      <c r="I28" s="58">
        <f t="shared" si="1"/>
        <v>-801754.1399999999</v>
      </c>
      <c r="J28" s="61">
        <f>E28/G28*100%*100</f>
        <v>182.42859977484537</v>
      </c>
    </row>
    <row r="29" spans="1:10" ht="12.75" hidden="1">
      <c r="A29" s="80"/>
      <c r="B29" s="13"/>
      <c r="C29" s="13"/>
      <c r="D29" s="13"/>
      <c r="E29" s="20"/>
      <c r="F29" s="14"/>
      <c r="G29" s="20"/>
      <c r="H29" s="14"/>
      <c r="I29" s="58">
        <f t="shared" si="1"/>
        <v>0</v>
      </c>
      <c r="J29" s="61">
        <v>0</v>
      </c>
    </row>
    <row r="30" spans="1:10" ht="12.75">
      <c r="A30" s="80"/>
      <c r="B30" s="13" t="s">
        <v>23</v>
      </c>
      <c r="C30" s="13"/>
      <c r="D30" s="13"/>
      <c r="E30" s="20">
        <v>109675.89</v>
      </c>
      <c r="F30" s="14"/>
      <c r="G30" s="20">
        <v>50383</v>
      </c>
      <c r="H30" s="14"/>
      <c r="I30" s="58">
        <f t="shared" si="1"/>
        <v>-59292.89</v>
      </c>
      <c r="J30" s="61">
        <f>E30/G30*100%*100</f>
        <v>217.68431812317647</v>
      </c>
    </row>
    <row r="31" spans="1:10" ht="12.75" hidden="1">
      <c r="A31" s="80"/>
      <c r="B31" s="13"/>
      <c r="C31" s="13"/>
      <c r="D31" s="13"/>
      <c r="E31" s="20"/>
      <c r="F31" s="14"/>
      <c r="G31" s="20"/>
      <c r="H31" s="14"/>
      <c r="I31" s="58">
        <f t="shared" si="1"/>
        <v>0</v>
      </c>
      <c r="J31" s="61">
        <v>0</v>
      </c>
    </row>
    <row r="32" spans="1:10" ht="12.75">
      <c r="A32" s="80"/>
      <c r="B32" s="13" t="s">
        <v>145</v>
      </c>
      <c r="C32" s="13"/>
      <c r="D32" s="13"/>
      <c r="E32" s="20">
        <v>52961.03</v>
      </c>
      <c r="F32" s="14"/>
      <c r="G32" s="20">
        <v>33370</v>
      </c>
      <c r="H32" s="14"/>
      <c r="I32" s="58">
        <f t="shared" si="1"/>
        <v>-19591.03</v>
      </c>
      <c r="J32" s="61">
        <f>E32/G32*100%*100</f>
        <v>158.70851063829787</v>
      </c>
    </row>
    <row r="33" spans="1:10" ht="12.75" hidden="1">
      <c r="A33" s="80"/>
      <c r="B33" s="13"/>
      <c r="C33" s="13"/>
      <c r="D33" s="13"/>
      <c r="E33" s="20"/>
      <c r="F33" s="14"/>
      <c r="G33" s="20"/>
      <c r="H33" s="14"/>
      <c r="I33" s="20">
        <f t="shared" si="1"/>
        <v>0</v>
      </c>
      <c r="J33" s="61">
        <v>0</v>
      </c>
    </row>
    <row r="34" spans="1:10" ht="12.75">
      <c r="A34" s="80"/>
      <c r="B34" s="13" t="s">
        <v>146</v>
      </c>
      <c r="C34" s="13"/>
      <c r="D34" s="13"/>
      <c r="E34" s="20">
        <v>118307.95</v>
      </c>
      <c r="F34" s="14"/>
      <c r="G34" s="20">
        <v>134832</v>
      </c>
      <c r="H34" s="14"/>
      <c r="I34" s="20">
        <f t="shared" si="1"/>
        <v>16524.050000000003</v>
      </c>
      <c r="J34" s="61">
        <f>E34/G34*100%*100</f>
        <v>87.7447119378189</v>
      </c>
    </row>
    <row r="35" spans="1:10" ht="12.75" hidden="1">
      <c r="A35" s="80"/>
      <c r="B35" s="13"/>
      <c r="C35" s="13"/>
      <c r="D35" s="13"/>
      <c r="E35" s="20"/>
      <c r="F35" s="14"/>
      <c r="G35" s="20"/>
      <c r="H35" s="14"/>
      <c r="I35" s="20">
        <f t="shared" si="1"/>
        <v>0</v>
      </c>
      <c r="J35" s="61">
        <v>0</v>
      </c>
    </row>
    <row r="36" spans="1:10" ht="12.75">
      <c r="A36" s="80"/>
      <c r="B36" s="13" t="s">
        <v>147</v>
      </c>
      <c r="C36" s="13"/>
      <c r="D36" s="13"/>
      <c r="E36" s="20">
        <v>97986.69</v>
      </c>
      <c r="F36" s="14"/>
      <c r="G36" s="20">
        <v>400000</v>
      </c>
      <c r="H36" s="14"/>
      <c r="I36" s="20">
        <f t="shared" si="1"/>
        <v>302013.31</v>
      </c>
      <c r="J36" s="61">
        <f>E36/G36*100%*100</f>
        <v>24.4966725</v>
      </c>
    </row>
    <row r="37" spans="1:10" ht="12.75" hidden="1">
      <c r="A37" s="80"/>
      <c r="B37" s="13"/>
      <c r="C37" s="13"/>
      <c r="D37" s="13"/>
      <c r="E37" s="20"/>
      <c r="F37" s="14"/>
      <c r="G37" s="20"/>
      <c r="H37" s="14"/>
      <c r="I37" s="20">
        <f t="shared" si="1"/>
        <v>0</v>
      </c>
      <c r="J37" s="61"/>
    </row>
    <row r="38" spans="1:10" ht="12.75">
      <c r="A38" s="80"/>
      <c r="B38" s="13" t="s">
        <v>163</v>
      </c>
      <c r="C38" s="13"/>
      <c r="D38" s="13"/>
      <c r="E38" s="20">
        <v>46900.56</v>
      </c>
      <c r="F38" s="14"/>
      <c r="G38" s="20">
        <v>195506</v>
      </c>
      <c r="H38" s="14"/>
      <c r="I38" s="20">
        <f t="shared" si="1"/>
        <v>148605.44</v>
      </c>
      <c r="J38" s="61">
        <f>E38/G38*100%*100</f>
        <v>23.989320020868924</v>
      </c>
    </row>
    <row r="39" spans="1:10" ht="12.75">
      <c r="A39" s="80"/>
      <c r="B39" s="13" t="s">
        <v>164</v>
      </c>
      <c r="C39" s="13"/>
      <c r="D39" s="13"/>
      <c r="E39" s="20">
        <f>52000+28500</f>
        <v>80500</v>
      </c>
      <c r="F39" s="14"/>
      <c r="G39" s="20">
        <v>240493</v>
      </c>
      <c r="H39" s="14"/>
      <c r="I39" s="20">
        <f t="shared" si="1"/>
        <v>159993</v>
      </c>
      <c r="J39" s="61">
        <f>E39/G39*100%*100</f>
        <v>33.47290773536028</v>
      </c>
    </row>
    <row r="40" spans="1:10" ht="12.75">
      <c r="A40" s="80"/>
      <c r="B40" s="13" t="s">
        <v>165</v>
      </c>
      <c r="C40" s="13"/>
      <c r="D40" s="13"/>
      <c r="E40" s="20">
        <v>0</v>
      </c>
      <c r="F40" s="14"/>
      <c r="G40" s="20">
        <v>1092499</v>
      </c>
      <c r="H40" s="14"/>
      <c r="I40" s="20">
        <f t="shared" si="1"/>
        <v>1092499</v>
      </c>
      <c r="J40" s="61">
        <f>E40/G40*100%*100</f>
        <v>0</v>
      </c>
    </row>
    <row r="41" spans="1:10" ht="12.75" hidden="1">
      <c r="A41" s="80"/>
      <c r="B41" s="13"/>
      <c r="C41" s="13"/>
      <c r="D41" s="13"/>
      <c r="E41" s="20"/>
      <c r="F41" s="14"/>
      <c r="G41" s="20"/>
      <c r="H41" s="14"/>
      <c r="I41" s="20">
        <f t="shared" si="1"/>
        <v>0</v>
      </c>
      <c r="J41" s="61">
        <v>0</v>
      </c>
    </row>
    <row r="42" spans="1:10" ht="12.75">
      <c r="A42" s="80"/>
      <c r="B42" s="13" t="s">
        <v>11</v>
      </c>
      <c r="C42" s="13"/>
      <c r="D42" s="13"/>
      <c r="E42" s="20">
        <v>0</v>
      </c>
      <c r="F42" s="14"/>
      <c r="G42" s="20">
        <v>0</v>
      </c>
      <c r="H42" s="14"/>
      <c r="I42" s="20">
        <f t="shared" si="1"/>
        <v>0</v>
      </c>
      <c r="J42" s="61">
        <v>0</v>
      </c>
    </row>
    <row r="43" spans="1:10" ht="12.75" hidden="1">
      <c r="A43" s="80"/>
      <c r="B43" s="13"/>
      <c r="C43" s="13"/>
      <c r="D43" s="13"/>
      <c r="E43" s="20"/>
      <c r="F43" s="14"/>
      <c r="G43" s="20"/>
      <c r="H43" s="14"/>
      <c r="I43" s="20">
        <f t="shared" si="1"/>
        <v>0</v>
      </c>
      <c r="J43" s="61">
        <v>0</v>
      </c>
    </row>
    <row r="44" spans="1:10" ht="13.5" thickBot="1">
      <c r="A44" s="81"/>
      <c r="B44" s="82" t="s">
        <v>151</v>
      </c>
      <c r="C44" s="82"/>
      <c r="D44" s="82"/>
      <c r="E44" s="21">
        <v>18327.66</v>
      </c>
      <c r="F44" s="83"/>
      <c r="G44" s="21">
        <v>530000</v>
      </c>
      <c r="H44" s="83"/>
      <c r="I44" s="21">
        <f t="shared" si="1"/>
        <v>511672.34</v>
      </c>
      <c r="J44" s="62">
        <f>E44/G44*100%*100</f>
        <v>3.4580490566037736</v>
      </c>
    </row>
    <row r="45" spans="5:10" ht="12.75" hidden="1">
      <c r="E45" s="59"/>
      <c r="G45" s="59"/>
      <c r="I45" s="59"/>
      <c r="J45" s="61"/>
    </row>
    <row r="46" spans="1:10" ht="12.75">
      <c r="A46" s="77" t="s">
        <v>152</v>
      </c>
      <c r="B46" s="78"/>
      <c r="C46" s="78"/>
      <c r="D46" s="78"/>
      <c r="E46" s="23"/>
      <c r="F46" s="79"/>
      <c r="G46" s="23"/>
      <c r="H46" s="79"/>
      <c r="I46" s="23">
        <f t="shared" si="1"/>
        <v>0</v>
      </c>
      <c r="J46" s="60"/>
    </row>
    <row r="47" spans="1:10" ht="12.75">
      <c r="A47" s="80"/>
      <c r="B47" s="13" t="s">
        <v>162</v>
      </c>
      <c r="C47" s="13" t="s">
        <v>153</v>
      </c>
      <c r="D47" s="13"/>
      <c r="E47" s="20">
        <f>90495+1300+2500</f>
        <v>94295</v>
      </c>
      <c r="F47" s="14"/>
      <c r="G47" s="20">
        <v>250000</v>
      </c>
      <c r="H47" s="14"/>
      <c r="I47" s="20">
        <f t="shared" si="1"/>
        <v>155705</v>
      </c>
      <c r="J47" s="61">
        <f aca="true" t="shared" si="2" ref="J47:J55">E47/G47*100%*100</f>
        <v>37.718</v>
      </c>
    </row>
    <row r="48" spans="1:10" ht="12.75">
      <c r="A48" s="80"/>
      <c r="B48" s="13"/>
      <c r="C48" s="13" t="s">
        <v>154</v>
      </c>
      <c r="D48" s="13"/>
      <c r="E48" s="20">
        <f>89390+1600+3306+2100+2050+2070+2799.2+3600</f>
        <v>106915.2</v>
      </c>
      <c r="F48" s="14"/>
      <c r="G48" s="20">
        <v>250000</v>
      </c>
      <c r="H48" s="14"/>
      <c r="I48" s="20">
        <f t="shared" si="1"/>
        <v>143084.8</v>
      </c>
      <c r="J48" s="61">
        <f t="shared" si="2"/>
        <v>42.76608</v>
      </c>
    </row>
    <row r="49" spans="1:10" ht="12.75">
      <c r="A49" s="80"/>
      <c r="B49" s="13"/>
      <c r="C49" s="13" t="s">
        <v>155</v>
      </c>
      <c r="D49" s="13"/>
      <c r="E49" s="20">
        <f>39590+1800+2000+1750+1900+1850+3200+2000+1200+2000+2000</f>
        <v>59290</v>
      </c>
      <c r="F49" s="14"/>
      <c r="G49" s="20">
        <v>250000</v>
      </c>
      <c r="H49" s="14"/>
      <c r="I49" s="20">
        <f t="shared" si="1"/>
        <v>190710</v>
      </c>
      <c r="J49" s="61">
        <f t="shared" si="2"/>
        <v>23.716</v>
      </c>
    </row>
    <row r="50" spans="1:10" ht="12.75">
      <c r="A50" s="80"/>
      <c r="B50" s="13"/>
      <c r="C50" s="13" t="s">
        <v>156</v>
      </c>
      <c r="D50" s="13"/>
      <c r="E50" s="20">
        <f>16640+9750</f>
        <v>26390</v>
      </c>
      <c r="F50" s="14"/>
      <c r="G50" s="20">
        <v>250000</v>
      </c>
      <c r="H50" s="14"/>
      <c r="I50" s="20">
        <f t="shared" si="1"/>
        <v>223610</v>
      </c>
      <c r="J50" s="61">
        <f t="shared" si="2"/>
        <v>10.556000000000001</v>
      </c>
    </row>
    <row r="51" spans="1:10" ht="12.75">
      <c r="A51" s="80"/>
      <c r="B51" s="13"/>
      <c r="C51" s="13" t="s">
        <v>157</v>
      </c>
      <c r="D51" s="13"/>
      <c r="E51" s="20">
        <f>42697.8+1400+2450+2450+1750+1750+1750+1750</f>
        <v>55997.8</v>
      </c>
      <c r="F51" s="14"/>
      <c r="G51" s="20">
        <v>250000</v>
      </c>
      <c r="H51" s="14"/>
      <c r="I51" s="20">
        <f t="shared" si="1"/>
        <v>194002.2</v>
      </c>
      <c r="J51" s="61">
        <f t="shared" si="2"/>
        <v>22.39912</v>
      </c>
    </row>
    <row r="52" spans="1:10" ht="12.75">
      <c r="A52" s="80"/>
      <c r="B52" s="13"/>
      <c r="C52" s="13" t="s">
        <v>158</v>
      </c>
      <c r="D52" s="13"/>
      <c r="E52" s="20">
        <f>66369.35+2250+2250+2250+3000</f>
        <v>76119.35</v>
      </c>
      <c r="F52" s="14"/>
      <c r="G52" s="20">
        <v>250000</v>
      </c>
      <c r="H52" s="14"/>
      <c r="I52" s="20">
        <f t="shared" si="1"/>
        <v>173880.65</v>
      </c>
      <c r="J52" s="61">
        <f t="shared" si="2"/>
        <v>30.44774</v>
      </c>
    </row>
    <row r="53" spans="1:10" ht="12.75">
      <c r="A53" s="80"/>
      <c r="B53" s="13"/>
      <c r="C53" s="13" t="s">
        <v>159</v>
      </c>
      <c r="D53" s="13"/>
      <c r="E53" s="20">
        <f>85592.52+5900</f>
        <v>91492.52</v>
      </c>
      <c r="F53" s="14"/>
      <c r="G53" s="20">
        <v>250000</v>
      </c>
      <c r="H53" s="14"/>
      <c r="I53" s="20">
        <f t="shared" si="1"/>
        <v>158507.47999999998</v>
      </c>
      <c r="J53" s="61">
        <f t="shared" si="2"/>
        <v>36.597008</v>
      </c>
    </row>
    <row r="54" spans="1:10" ht="12.75">
      <c r="A54" s="80"/>
      <c r="B54" s="13"/>
      <c r="C54" s="13" t="s">
        <v>160</v>
      </c>
      <c r="D54" s="13"/>
      <c r="E54" s="20">
        <v>88150</v>
      </c>
      <c r="F54" s="14"/>
      <c r="G54" s="20">
        <v>250000</v>
      </c>
      <c r="H54" s="14"/>
      <c r="I54" s="20">
        <f t="shared" si="1"/>
        <v>161850</v>
      </c>
      <c r="J54" s="61">
        <f t="shared" si="2"/>
        <v>35.260000000000005</v>
      </c>
    </row>
    <row r="55" spans="1:10" ht="12.75">
      <c r="A55" s="80"/>
      <c r="B55" s="13"/>
      <c r="C55" s="13" t="s">
        <v>161</v>
      </c>
      <c r="D55" s="13"/>
      <c r="E55" s="20">
        <f>67020+7410+3500</f>
        <v>77930</v>
      </c>
      <c r="F55" s="14"/>
      <c r="G55" s="20">
        <v>250000</v>
      </c>
      <c r="H55" s="14"/>
      <c r="I55" s="20">
        <f t="shared" si="1"/>
        <v>172070</v>
      </c>
      <c r="J55" s="61">
        <f t="shared" si="2"/>
        <v>31.172</v>
      </c>
    </row>
    <row r="56" spans="1:10" ht="12.75" hidden="1">
      <c r="A56" s="80"/>
      <c r="B56" s="13"/>
      <c r="C56" s="13"/>
      <c r="D56" s="13"/>
      <c r="E56" s="20"/>
      <c r="F56" s="14"/>
      <c r="G56" s="20"/>
      <c r="H56" s="14"/>
      <c r="I56" s="20">
        <f t="shared" si="1"/>
        <v>0</v>
      </c>
      <c r="J56" s="61">
        <v>0</v>
      </c>
    </row>
    <row r="57" spans="1:10" ht="12.75" hidden="1">
      <c r="A57" s="80"/>
      <c r="B57" s="13" t="s">
        <v>92</v>
      </c>
      <c r="C57" s="13"/>
      <c r="D57" s="13"/>
      <c r="E57" s="20"/>
      <c r="F57" s="14"/>
      <c r="G57" s="20"/>
      <c r="H57" s="14"/>
      <c r="I57" s="20">
        <f t="shared" si="1"/>
        <v>0</v>
      </c>
      <c r="J57" s="61">
        <v>0</v>
      </c>
    </row>
    <row r="58" spans="1:10" ht="12.75">
      <c r="A58" s="80"/>
      <c r="B58" s="13" t="s">
        <v>167</v>
      </c>
      <c r="C58" s="13"/>
      <c r="D58" s="13"/>
      <c r="E58" s="20">
        <v>5696.4</v>
      </c>
      <c r="F58" s="14"/>
      <c r="G58" s="20">
        <v>780207</v>
      </c>
      <c r="H58" s="14"/>
      <c r="I58" s="20">
        <f>G58-E58</f>
        <v>774510.6</v>
      </c>
      <c r="J58" s="61">
        <f>E58/G58*100%*100</f>
        <v>0.7301139313028465</v>
      </c>
    </row>
    <row r="59" spans="1:10" ht="12.75" hidden="1">
      <c r="A59" s="80"/>
      <c r="B59" s="13" t="s">
        <v>168</v>
      </c>
      <c r="C59" s="13"/>
      <c r="D59" s="13"/>
      <c r="E59" s="20"/>
      <c r="F59" s="14"/>
      <c r="G59" s="20"/>
      <c r="H59" s="14"/>
      <c r="I59" s="20">
        <f t="shared" si="1"/>
        <v>0</v>
      </c>
      <c r="J59" s="61">
        <v>0</v>
      </c>
    </row>
    <row r="60" spans="1:10" ht="12.75">
      <c r="A60" s="80"/>
      <c r="B60" s="13" t="s">
        <v>169</v>
      </c>
      <c r="C60" s="13"/>
      <c r="D60" s="13"/>
      <c r="E60" s="20">
        <f>118147+125760.52+103534.8</f>
        <v>347442.32</v>
      </c>
      <c r="F60" s="14"/>
      <c r="G60" s="20">
        <v>350000</v>
      </c>
      <c r="H60" s="14"/>
      <c r="I60" s="20">
        <f t="shared" si="1"/>
        <v>2557.679999999993</v>
      </c>
      <c r="J60" s="61">
        <f>E60/G60*100%*100</f>
        <v>99.26923428571429</v>
      </c>
    </row>
    <row r="61" spans="1:10" ht="12.75" hidden="1">
      <c r="A61" s="80"/>
      <c r="B61" s="13" t="s">
        <v>171</v>
      </c>
      <c r="C61" s="13"/>
      <c r="D61" s="13"/>
      <c r="E61" s="20"/>
      <c r="F61" s="14"/>
      <c r="G61" s="20"/>
      <c r="H61" s="14"/>
      <c r="I61" s="20">
        <f t="shared" si="1"/>
        <v>0</v>
      </c>
      <c r="J61" s="61">
        <v>0</v>
      </c>
    </row>
    <row r="62" spans="1:10" ht="13.5" thickBot="1">
      <c r="A62" s="81"/>
      <c r="B62" s="82" t="s">
        <v>78</v>
      </c>
      <c r="C62" s="82"/>
      <c r="D62" s="82"/>
      <c r="E62" s="21">
        <f>671152.29+237049.14+274691.88+211100+46196.7-43024.7</f>
        <v>1397165.31</v>
      </c>
      <c r="F62" s="83"/>
      <c r="G62" s="21">
        <v>1579449</v>
      </c>
      <c r="H62" s="83"/>
      <c r="I62" s="21">
        <f t="shared" si="1"/>
        <v>182283.68999999994</v>
      </c>
      <c r="J62" s="62">
        <f>E62/G62*100%*100</f>
        <v>88.4590328652587</v>
      </c>
    </row>
    <row r="63" spans="5:10" ht="12.75" hidden="1">
      <c r="E63" s="20"/>
      <c r="F63" s="2"/>
      <c r="G63" s="20"/>
      <c r="H63" s="2"/>
      <c r="I63" s="20">
        <f t="shared" si="1"/>
        <v>0</v>
      </c>
      <c r="J63" s="61">
        <v>0</v>
      </c>
    </row>
    <row r="64" spans="5:10" ht="12.75" hidden="1">
      <c r="E64" s="20"/>
      <c r="F64" s="2"/>
      <c r="G64" s="20"/>
      <c r="H64" s="2"/>
      <c r="I64" s="20">
        <f t="shared" si="1"/>
        <v>0</v>
      </c>
      <c r="J64" s="61">
        <v>0</v>
      </c>
    </row>
    <row r="65" spans="5:10" ht="12.75" hidden="1">
      <c r="E65" s="20"/>
      <c r="F65" s="2"/>
      <c r="G65" s="20"/>
      <c r="H65" s="2"/>
      <c r="I65" s="20">
        <f t="shared" si="1"/>
        <v>0</v>
      </c>
      <c r="J65" s="61">
        <v>0</v>
      </c>
    </row>
    <row r="66" spans="1:10" ht="13.5" thickBot="1">
      <c r="A66" s="63"/>
      <c r="B66" s="63"/>
      <c r="C66" s="63"/>
      <c r="D66" s="63"/>
      <c r="E66" s="64"/>
      <c r="F66" s="65"/>
      <c r="G66" s="64"/>
      <c r="H66" s="65"/>
      <c r="I66" s="64">
        <f t="shared" si="1"/>
        <v>0</v>
      </c>
      <c r="J66" s="66">
        <v>0</v>
      </c>
    </row>
    <row r="67" spans="1:10" s="45" customFormat="1" ht="16.5" thickBot="1">
      <c r="A67" s="48" t="s">
        <v>197</v>
      </c>
      <c r="B67" s="48"/>
      <c r="C67" s="48"/>
      <c r="D67" s="48"/>
      <c r="E67" s="67">
        <f>SUM(E7:E66)</f>
        <v>19656277.18253195</v>
      </c>
      <c r="F67" s="49"/>
      <c r="G67" s="67">
        <f>SUM(G7:G66)</f>
        <v>39745000</v>
      </c>
      <c r="H67" s="49"/>
      <c r="I67" s="67">
        <f t="shared" si="1"/>
        <v>20088722.81746805</v>
      </c>
      <c r="J67" s="68">
        <f>E67/G67*100%*100</f>
        <v>49.45597479565216</v>
      </c>
    </row>
    <row r="68" spans="5:10" ht="13.5" thickTop="1">
      <c r="E68" s="2"/>
      <c r="F68" s="2"/>
      <c r="G68" s="2"/>
      <c r="H68" s="2"/>
      <c r="I68" s="2"/>
      <c r="J68" s="56"/>
    </row>
    <row r="69" spans="5:10" ht="12.75">
      <c r="E69" s="2"/>
      <c r="F69" s="2"/>
      <c r="G69" s="2"/>
      <c r="H69" s="2"/>
      <c r="I69" s="2"/>
      <c r="J69" s="56"/>
    </row>
    <row r="70" spans="5:10" ht="12.75">
      <c r="E70" s="2"/>
      <c r="F70" s="2"/>
      <c r="G70" s="2"/>
      <c r="H70" s="2"/>
      <c r="I70" s="2"/>
      <c r="J70" s="56"/>
    </row>
    <row r="71" spans="5:10" ht="12.75">
      <c r="E71" s="2"/>
      <c r="F71" s="2"/>
      <c r="G71" s="2"/>
      <c r="H71" s="2"/>
      <c r="I71" s="2"/>
      <c r="J71" s="56"/>
    </row>
    <row r="72" spans="5:10" ht="12.75">
      <c r="E72" s="2"/>
      <c r="F72" s="2"/>
      <c r="G72" s="2"/>
      <c r="H72" s="2"/>
      <c r="I72" s="2"/>
      <c r="J72" s="56"/>
    </row>
    <row r="73" spans="5:10" ht="12.75">
      <c r="E73" s="2"/>
      <c r="F73" s="2"/>
      <c r="G73" s="2"/>
      <c r="H73" s="2"/>
      <c r="I73" s="2"/>
      <c r="J73" s="56"/>
    </row>
    <row r="74" spans="5:10" ht="12.75">
      <c r="E74" s="2"/>
      <c r="F74" s="2"/>
      <c r="G74" s="2"/>
      <c r="H74" s="2"/>
      <c r="I74" s="2"/>
      <c r="J74" s="56"/>
    </row>
    <row r="75" spans="5:10" ht="12.75">
      <c r="E75" s="2"/>
      <c r="F75" s="2"/>
      <c r="G75" s="2"/>
      <c r="H75" s="2"/>
      <c r="I75" s="2"/>
      <c r="J75" s="56"/>
    </row>
    <row r="76" spans="5:10" ht="12.75">
      <c r="E76" s="2"/>
      <c r="F76" s="2"/>
      <c r="G76" s="2"/>
      <c r="H76" s="2"/>
      <c r="I76" s="2"/>
      <c r="J76" s="56"/>
    </row>
    <row r="77" spans="5:10" ht="12.75">
      <c r="E77" s="2"/>
      <c r="F77" s="2"/>
      <c r="G77" s="2"/>
      <c r="H77" s="2"/>
      <c r="I77" s="2"/>
      <c r="J77" s="56"/>
    </row>
    <row r="78" spans="5:10" ht="12.75">
      <c r="E78" s="2"/>
      <c r="F78" s="2"/>
      <c r="G78" s="2"/>
      <c r="H78" s="2"/>
      <c r="I78" s="2"/>
      <c r="J78" s="56"/>
    </row>
    <row r="79" spans="5:10" ht="12.75">
      <c r="E79" s="2"/>
      <c r="F79" s="2"/>
      <c r="G79" s="2"/>
      <c r="H79" s="2"/>
      <c r="I79" s="2"/>
      <c r="J79" s="56"/>
    </row>
    <row r="80" spans="5:10" ht="12.75">
      <c r="E80" s="2"/>
      <c r="F80" s="2"/>
      <c r="G80" s="2"/>
      <c r="H80" s="2"/>
      <c r="I80" s="2"/>
      <c r="J80" s="56"/>
    </row>
    <row r="81" spans="5:10" ht="12.75">
      <c r="E81" s="2"/>
      <c r="F81" s="2"/>
      <c r="G81" s="2"/>
      <c r="H81" s="2"/>
      <c r="I81" s="2"/>
      <c r="J81" s="56"/>
    </row>
    <row r="82" spans="5:10" ht="12.75">
      <c r="E82" s="2"/>
      <c r="F82" s="2"/>
      <c r="G82" s="2"/>
      <c r="H82" s="2"/>
      <c r="I82" s="2"/>
      <c r="J82" s="56"/>
    </row>
    <row r="83" spans="5:10" ht="12.75">
      <c r="E83" s="2"/>
      <c r="F83" s="2"/>
      <c r="G83" s="2"/>
      <c r="H83" s="2"/>
      <c r="I83" s="2"/>
      <c r="J83" s="56"/>
    </row>
    <row r="84" spans="5:10" ht="12.75">
      <c r="E84" s="2"/>
      <c r="F84" s="2"/>
      <c r="G84" s="2"/>
      <c r="H84" s="2"/>
      <c r="I84" s="2"/>
      <c r="J84" s="56"/>
    </row>
    <row r="85" spans="5:10" ht="12.75">
      <c r="E85" s="2"/>
      <c r="F85" s="2"/>
      <c r="G85" s="2"/>
      <c r="H85" s="2"/>
      <c r="I85" s="2"/>
      <c r="J85" s="56"/>
    </row>
    <row r="86" spans="5:10" ht="12.75">
      <c r="E86" s="2"/>
      <c r="F86" s="2"/>
      <c r="G86" s="2"/>
      <c r="H86" s="2"/>
      <c r="I86" s="2"/>
      <c r="J86" s="57"/>
    </row>
    <row r="87" spans="5:10" ht="12.75">
      <c r="E87" s="2"/>
      <c r="F87" s="2"/>
      <c r="G87" s="2"/>
      <c r="H87" s="2"/>
      <c r="I87" s="2"/>
      <c r="J87" s="57"/>
    </row>
    <row r="88" spans="5:10" ht="12.75">
      <c r="E88" s="2"/>
      <c r="F88" s="2"/>
      <c r="G88" s="2"/>
      <c r="H88" s="2"/>
      <c r="I88" s="2"/>
      <c r="J88" s="57"/>
    </row>
    <row r="89" spans="5:10" ht="12.75">
      <c r="E89" s="2"/>
      <c r="F89" s="2"/>
      <c r="G89" s="2"/>
      <c r="H89" s="2"/>
      <c r="I89" s="2"/>
      <c r="J89" s="57"/>
    </row>
    <row r="90" spans="5:10" ht="12.75">
      <c r="E90" s="2"/>
      <c r="F90" s="2"/>
      <c r="G90" s="2"/>
      <c r="H90" s="2"/>
      <c r="I90" s="2"/>
      <c r="J90" s="57"/>
    </row>
    <row r="91" spans="5:10" ht="12.75">
      <c r="E91" s="2"/>
      <c r="F91" s="2"/>
      <c r="G91" s="2"/>
      <c r="H91" s="2"/>
      <c r="I91" s="2"/>
      <c r="J91" s="57"/>
    </row>
    <row r="92" spans="5:10" ht="12.75">
      <c r="E92" s="2"/>
      <c r="F92" s="2"/>
      <c r="G92" s="2"/>
      <c r="H92" s="2"/>
      <c r="I92" s="2"/>
      <c r="J92" s="57"/>
    </row>
    <row r="93" spans="5:10" ht="12.75">
      <c r="E93" s="2"/>
      <c r="F93" s="2"/>
      <c r="G93" s="2"/>
      <c r="H93" s="2"/>
      <c r="I93" s="2"/>
      <c r="J93" s="57"/>
    </row>
    <row r="94" spans="5:10" ht="12.75">
      <c r="E94" s="2"/>
      <c r="F94" s="2"/>
      <c r="G94" s="2"/>
      <c r="H94" s="2"/>
      <c r="I94" s="2"/>
      <c r="J94" s="57"/>
    </row>
    <row r="95" spans="5:10" ht="12.75">
      <c r="E95" s="2"/>
      <c r="F95" s="2"/>
      <c r="G95" s="2"/>
      <c r="H95" s="2"/>
      <c r="I95" s="2"/>
      <c r="J95" s="57"/>
    </row>
    <row r="96" spans="5:10" ht="12.75">
      <c r="E96" s="2"/>
      <c r="F96" s="2"/>
      <c r="G96" s="2"/>
      <c r="H96" s="2"/>
      <c r="I96" s="2"/>
      <c r="J96" s="57"/>
    </row>
    <row r="97" spans="5:10" ht="12.75">
      <c r="E97" s="2"/>
      <c r="F97" s="2"/>
      <c r="G97" s="2"/>
      <c r="H97" s="2"/>
      <c r="I97" s="2"/>
      <c r="J97" s="57"/>
    </row>
    <row r="98" spans="5:10" ht="12.75">
      <c r="E98" s="2"/>
      <c r="F98" s="2"/>
      <c r="G98" s="2"/>
      <c r="H98" s="2"/>
      <c r="I98" s="2"/>
      <c r="J98" s="57"/>
    </row>
    <row r="99" spans="5:10" ht="12.75">
      <c r="E99" s="2"/>
      <c r="F99" s="2"/>
      <c r="G99" s="2"/>
      <c r="H99" s="2"/>
      <c r="I99" s="2"/>
      <c r="J99" s="57"/>
    </row>
    <row r="100" spans="5:10" ht="12.75">
      <c r="E100" s="2"/>
      <c r="F100" s="2"/>
      <c r="G100" s="2"/>
      <c r="H100" s="2"/>
      <c r="I100" s="2"/>
      <c r="J100" s="57"/>
    </row>
    <row r="101" spans="5:10" ht="12.75">
      <c r="E101" s="2"/>
      <c r="F101" s="2"/>
      <c r="G101" s="2"/>
      <c r="H101" s="2"/>
      <c r="I101" s="2"/>
      <c r="J101" s="57"/>
    </row>
    <row r="102" spans="5:10" ht="12.75">
      <c r="E102" s="2"/>
      <c r="F102" s="2"/>
      <c r="G102" s="2"/>
      <c r="H102" s="2"/>
      <c r="I102" s="2"/>
      <c r="J102" s="57"/>
    </row>
    <row r="103" spans="5:10" ht="12.75">
      <c r="E103" s="2"/>
      <c r="F103" s="2"/>
      <c r="G103" s="2"/>
      <c r="H103" s="2"/>
      <c r="I103" s="2"/>
      <c r="J103" s="57"/>
    </row>
    <row r="104" spans="5:10" ht="12.75">
      <c r="E104" s="2"/>
      <c r="F104" s="2"/>
      <c r="G104" s="2"/>
      <c r="H104" s="2"/>
      <c r="I104" s="2"/>
      <c r="J104" s="57"/>
    </row>
    <row r="105" spans="5:10" ht="12.75">
      <c r="E105" s="2"/>
      <c r="F105" s="2"/>
      <c r="G105" s="2"/>
      <c r="H105" s="2"/>
      <c r="I105" s="2"/>
      <c r="J105" s="57"/>
    </row>
    <row r="106" spans="5:10" ht="12.75">
      <c r="E106" s="2"/>
      <c r="F106" s="2"/>
      <c r="G106" s="2"/>
      <c r="H106" s="2"/>
      <c r="I106" s="2"/>
      <c r="J106" s="57"/>
    </row>
    <row r="107" spans="5:10" ht="12.75">
      <c r="E107" s="2"/>
      <c r="F107" s="2"/>
      <c r="G107" s="2"/>
      <c r="H107" s="2"/>
      <c r="I107" s="2"/>
      <c r="J107" s="57"/>
    </row>
    <row r="108" spans="5:10" ht="12.75">
      <c r="E108" s="2"/>
      <c r="F108" s="2"/>
      <c r="G108" s="2"/>
      <c r="H108" s="2"/>
      <c r="I108" s="2"/>
      <c r="J108" s="57"/>
    </row>
    <row r="109" spans="5:10" ht="12.75">
      <c r="E109" s="2"/>
      <c r="F109" s="2"/>
      <c r="G109" s="2"/>
      <c r="H109" s="2"/>
      <c r="I109" s="2"/>
      <c r="J109" s="57"/>
    </row>
    <row r="110" spans="5:10" ht="12.75">
      <c r="E110" s="2"/>
      <c r="F110" s="2"/>
      <c r="G110" s="2"/>
      <c r="H110" s="2"/>
      <c r="I110" s="2"/>
      <c r="J110" s="57"/>
    </row>
    <row r="111" spans="5:10" ht="12.75">
      <c r="E111" s="2"/>
      <c r="F111" s="2"/>
      <c r="G111" s="2"/>
      <c r="H111" s="2"/>
      <c r="I111" s="2"/>
      <c r="J111" s="57"/>
    </row>
    <row r="112" spans="5:10" ht="12.75">
      <c r="E112" s="2"/>
      <c r="F112" s="2"/>
      <c r="G112" s="2"/>
      <c r="H112" s="2"/>
      <c r="I112" s="2"/>
      <c r="J112" s="57"/>
    </row>
    <row r="113" spans="5:10" ht="12.75">
      <c r="E113" s="2"/>
      <c r="F113" s="2"/>
      <c r="G113" s="2"/>
      <c r="H113" s="2"/>
      <c r="I113" s="2"/>
      <c r="J113" s="57"/>
    </row>
    <row r="114" spans="5:10" ht="12.75">
      <c r="E114" s="2"/>
      <c r="F114" s="2"/>
      <c r="G114" s="2"/>
      <c r="H114" s="2"/>
      <c r="I114" s="2"/>
      <c r="J114" s="57"/>
    </row>
    <row r="115" spans="5:9" ht="12.75">
      <c r="E115" s="2"/>
      <c r="F115" s="2"/>
      <c r="G115" s="2"/>
      <c r="H115" s="2"/>
      <c r="I115" s="2"/>
    </row>
    <row r="116" spans="5:9" ht="12.75">
      <c r="E116" s="2"/>
      <c r="F116" s="2"/>
      <c r="G116" s="2"/>
      <c r="H116" s="2"/>
      <c r="I116" s="2"/>
    </row>
    <row r="117" spans="5:9" ht="12.75">
      <c r="E117" s="2"/>
      <c r="F117" s="2"/>
      <c r="G117" s="2"/>
      <c r="H117" s="2"/>
      <c r="I117" s="2"/>
    </row>
    <row r="118" spans="5:9" ht="12.75">
      <c r="E118" s="2"/>
      <c r="F118" s="2"/>
      <c r="G118" s="2"/>
      <c r="H118" s="2"/>
      <c r="I118" s="2"/>
    </row>
    <row r="119" spans="5:9" ht="12.75">
      <c r="E119" s="2"/>
      <c r="F119" s="2"/>
      <c r="G119" s="2"/>
      <c r="H119" s="2"/>
      <c r="I119" s="2"/>
    </row>
    <row r="120" spans="5:9" ht="12.75">
      <c r="E120" s="2"/>
      <c r="F120" s="2"/>
      <c r="G120" s="2"/>
      <c r="H120" s="2"/>
      <c r="I120" s="2"/>
    </row>
    <row r="121" spans="5:9" ht="12.75">
      <c r="E121" s="2"/>
      <c r="F121" s="2"/>
      <c r="G121" s="2"/>
      <c r="H121" s="2"/>
      <c r="I121" s="2"/>
    </row>
    <row r="122" spans="5:9" ht="12.75">
      <c r="E122" s="2"/>
      <c r="F122" s="2"/>
      <c r="G122" s="2"/>
      <c r="H122" s="2"/>
      <c r="I122" s="2"/>
    </row>
    <row r="123" spans="5:9" ht="12.75">
      <c r="E123" s="2"/>
      <c r="F123" s="2"/>
      <c r="G123" s="2"/>
      <c r="H123" s="2"/>
      <c r="I123" s="2"/>
    </row>
    <row r="124" spans="5:9" ht="12.75">
      <c r="E124" s="2"/>
      <c r="F124" s="2"/>
      <c r="G124" s="2"/>
      <c r="H124" s="2"/>
      <c r="I124" s="2"/>
    </row>
    <row r="125" spans="5:9" ht="12.75">
      <c r="E125" s="2"/>
      <c r="F125" s="2"/>
      <c r="G125" s="2"/>
      <c r="H125" s="2"/>
      <c r="I125" s="2"/>
    </row>
    <row r="126" spans="5:9" ht="12.75">
      <c r="E126" s="2"/>
      <c r="F126" s="2"/>
      <c r="G126" s="2"/>
      <c r="H126" s="2"/>
      <c r="I126" s="2"/>
    </row>
    <row r="127" spans="5:9" ht="12.75">
      <c r="E127" s="2"/>
      <c r="F127" s="2"/>
      <c r="G127" s="2"/>
      <c r="H127" s="2"/>
      <c r="I127" s="2"/>
    </row>
    <row r="128" spans="5:9" ht="12.75">
      <c r="E128" s="2"/>
      <c r="F128" s="2"/>
      <c r="G128" s="2"/>
      <c r="H128" s="2"/>
      <c r="I128" s="2"/>
    </row>
    <row r="129" spans="5:9" ht="12.75">
      <c r="E129" s="2"/>
      <c r="F129" s="2"/>
      <c r="G129" s="2"/>
      <c r="H129" s="2"/>
      <c r="I129" s="2"/>
    </row>
    <row r="130" spans="5:9" ht="12.75">
      <c r="E130" s="2"/>
      <c r="F130" s="2"/>
      <c r="G130" s="2"/>
      <c r="H130" s="2"/>
      <c r="I130" s="2"/>
    </row>
    <row r="131" spans="5:9" ht="12.75">
      <c r="E131" s="2"/>
      <c r="F131" s="2"/>
      <c r="G131" s="2"/>
      <c r="H131" s="2"/>
      <c r="I131" s="2"/>
    </row>
    <row r="132" spans="5:9" ht="12.75">
      <c r="E132" s="2"/>
      <c r="F132" s="2"/>
      <c r="G132" s="2"/>
      <c r="H132" s="2"/>
      <c r="I132" s="2"/>
    </row>
    <row r="133" spans="5:9" ht="12.75">
      <c r="E133" s="2"/>
      <c r="F133" s="2"/>
      <c r="G133" s="2"/>
      <c r="H133" s="2"/>
      <c r="I133" s="2"/>
    </row>
    <row r="134" spans="5:9" ht="12.75">
      <c r="E134" s="2"/>
      <c r="F134" s="2"/>
      <c r="G134" s="2"/>
      <c r="H134" s="2"/>
      <c r="I134" s="2"/>
    </row>
    <row r="135" spans="5:9" ht="12.75">
      <c r="E135" s="2"/>
      <c r="F135" s="2"/>
      <c r="G135" s="2"/>
      <c r="H135" s="2"/>
      <c r="I135" s="2"/>
    </row>
    <row r="136" spans="5:9" ht="12.75">
      <c r="E136" s="2"/>
      <c r="F136" s="2"/>
      <c r="G136" s="2"/>
      <c r="H136" s="2"/>
      <c r="I136" s="2"/>
    </row>
    <row r="137" spans="5:9" ht="12.75">
      <c r="E137" s="2"/>
      <c r="F137" s="2"/>
      <c r="G137" s="2"/>
      <c r="H137" s="2"/>
      <c r="I137" s="2"/>
    </row>
    <row r="138" spans="5:9" ht="12.75">
      <c r="E138" s="2"/>
      <c r="F138" s="2"/>
      <c r="G138" s="2"/>
      <c r="H138" s="2"/>
      <c r="I138" s="2"/>
    </row>
    <row r="139" spans="5:9" ht="12.75">
      <c r="E139" s="2"/>
      <c r="F139" s="2"/>
      <c r="G139" s="2"/>
      <c r="H139" s="2"/>
      <c r="I139" s="2"/>
    </row>
    <row r="140" spans="5:9" ht="12.75">
      <c r="E140" s="2"/>
      <c r="F140" s="2"/>
      <c r="G140" s="2"/>
      <c r="H140" s="2"/>
      <c r="I140" s="2"/>
    </row>
    <row r="141" spans="5:9" ht="12.75">
      <c r="E141" s="2"/>
      <c r="F141" s="2"/>
      <c r="G141" s="2"/>
      <c r="H141" s="2"/>
      <c r="I141" s="2"/>
    </row>
    <row r="142" spans="5:9" ht="12.75">
      <c r="E142" s="2"/>
      <c r="F142" s="2"/>
      <c r="G142" s="2"/>
      <c r="H142" s="2"/>
      <c r="I142" s="2"/>
    </row>
    <row r="143" spans="5:9" ht="12.75">
      <c r="E143" s="2"/>
      <c r="F143" s="2"/>
      <c r="G143" s="2"/>
      <c r="H143" s="2"/>
      <c r="I143" s="2"/>
    </row>
    <row r="144" spans="5:9" ht="12.75">
      <c r="E144" s="2"/>
      <c r="F144" s="2"/>
      <c r="G144" s="2"/>
      <c r="H144" s="2"/>
      <c r="I144" s="2"/>
    </row>
    <row r="145" spans="5:9" ht="12.75">
      <c r="E145" s="2"/>
      <c r="F145" s="2"/>
      <c r="G145" s="2"/>
      <c r="H145" s="2"/>
      <c r="I145" s="2"/>
    </row>
    <row r="146" spans="5:9" ht="12.75">
      <c r="E146" s="2"/>
      <c r="F146" s="2"/>
      <c r="G146" s="2"/>
      <c r="H146" s="2"/>
      <c r="I146" s="2"/>
    </row>
    <row r="147" spans="5:9" ht="12.75">
      <c r="E147" s="2"/>
      <c r="F147" s="2"/>
      <c r="G147" s="2"/>
      <c r="H147" s="2"/>
      <c r="I147" s="2"/>
    </row>
    <row r="148" spans="5:9" ht="12.75">
      <c r="E148" s="2"/>
      <c r="F148" s="2"/>
      <c r="G148" s="2"/>
      <c r="H148" s="2"/>
      <c r="I148" s="2"/>
    </row>
    <row r="149" spans="5:9" ht="12.75">
      <c r="E149" s="2"/>
      <c r="F149" s="2"/>
      <c r="G149" s="2"/>
      <c r="H149" s="2"/>
      <c r="I149" s="2"/>
    </row>
    <row r="150" spans="5:9" ht="12.75">
      <c r="E150" s="2"/>
      <c r="F150" s="2"/>
      <c r="G150" s="2"/>
      <c r="H150" s="2"/>
      <c r="I150" s="2"/>
    </row>
    <row r="151" spans="5:9" ht="12.75">
      <c r="E151" s="2"/>
      <c r="F151" s="2"/>
      <c r="G151" s="2"/>
      <c r="H151" s="2"/>
      <c r="I151" s="2"/>
    </row>
    <row r="152" spans="5:9" ht="12.75">
      <c r="E152" s="2"/>
      <c r="F152" s="2"/>
      <c r="G152" s="2"/>
      <c r="H152" s="2"/>
      <c r="I152" s="2"/>
    </row>
    <row r="153" spans="5:9" ht="12.75">
      <c r="E153" s="2"/>
      <c r="F153" s="2"/>
      <c r="G153" s="2"/>
      <c r="H153" s="2"/>
      <c r="I153" s="2"/>
    </row>
    <row r="154" spans="5:9" ht="12.75">
      <c r="E154" s="2"/>
      <c r="F154" s="2"/>
      <c r="G154" s="2"/>
      <c r="H154" s="2"/>
      <c r="I154" s="2"/>
    </row>
    <row r="155" spans="5:9" ht="12.75">
      <c r="E155" s="2"/>
      <c r="F155" s="2"/>
      <c r="G155" s="2"/>
      <c r="H155" s="2"/>
      <c r="I155" s="2"/>
    </row>
    <row r="156" spans="5:9" ht="12.75">
      <c r="E156" s="2"/>
      <c r="F156" s="2"/>
      <c r="G156" s="2"/>
      <c r="H156" s="2"/>
      <c r="I156" s="2"/>
    </row>
    <row r="157" spans="5:9" ht="12.75">
      <c r="E157" s="2"/>
      <c r="F157" s="2"/>
      <c r="G157" s="2"/>
      <c r="H157" s="2"/>
      <c r="I157" s="2"/>
    </row>
    <row r="158" spans="5:9" ht="12.75">
      <c r="E158" s="2"/>
      <c r="F158" s="2"/>
      <c r="G158" s="2"/>
      <c r="H158" s="2"/>
      <c r="I158" s="2"/>
    </row>
    <row r="159" spans="5:9" ht="12.75">
      <c r="E159" s="2"/>
      <c r="F159" s="2"/>
      <c r="G159" s="2"/>
      <c r="H159" s="2"/>
      <c r="I159" s="2"/>
    </row>
    <row r="160" spans="5:9" ht="12.75">
      <c r="E160" s="2"/>
      <c r="F160" s="2"/>
      <c r="G160" s="2"/>
      <c r="H160" s="2"/>
      <c r="I160" s="2"/>
    </row>
    <row r="161" spans="5:9" ht="12.75">
      <c r="E161" s="2"/>
      <c r="F161" s="2"/>
      <c r="G161" s="2"/>
      <c r="H161" s="2"/>
      <c r="I161" s="2"/>
    </row>
    <row r="162" spans="5:9" ht="12.75">
      <c r="E162" s="2"/>
      <c r="F162" s="2"/>
      <c r="G162" s="2"/>
      <c r="H162" s="2"/>
      <c r="I162" s="2"/>
    </row>
    <row r="163" spans="5:9" ht="12.75">
      <c r="E163" s="2"/>
      <c r="F163" s="2"/>
      <c r="G163" s="2"/>
      <c r="H163" s="2"/>
      <c r="I163" s="2"/>
    </row>
    <row r="164" spans="5:9" ht="12.75">
      <c r="E164" s="2"/>
      <c r="F164" s="2"/>
      <c r="G164" s="2"/>
      <c r="H164" s="2"/>
      <c r="I164" s="2"/>
    </row>
    <row r="165" spans="5:9" ht="12.75">
      <c r="E165" s="2"/>
      <c r="F165" s="2"/>
      <c r="G165" s="2"/>
      <c r="H165" s="2"/>
      <c r="I165" s="2"/>
    </row>
    <row r="166" spans="5:9" ht="12.75">
      <c r="E166" s="2"/>
      <c r="F166" s="2"/>
      <c r="G166" s="2"/>
      <c r="H166" s="2"/>
      <c r="I166" s="2"/>
    </row>
    <row r="167" spans="5:9" ht="12.75">
      <c r="E167" s="2"/>
      <c r="F167" s="2"/>
      <c r="G167" s="2"/>
      <c r="H167" s="2"/>
      <c r="I167" s="2"/>
    </row>
    <row r="168" spans="5:9" ht="12.75">
      <c r="E168" s="2"/>
      <c r="F168" s="2"/>
      <c r="G168" s="2"/>
      <c r="H168" s="2"/>
      <c r="I168" s="2"/>
    </row>
    <row r="169" spans="5:9" ht="12.75">
      <c r="E169" s="2"/>
      <c r="F169" s="2"/>
      <c r="G169" s="2"/>
      <c r="H169" s="2"/>
      <c r="I169" s="2"/>
    </row>
    <row r="170" spans="5:9" ht="12.75">
      <c r="E170" s="2"/>
      <c r="F170" s="2"/>
      <c r="G170" s="2"/>
      <c r="H170" s="2"/>
      <c r="I170" s="2"/>
    </row>
    <row r="171" spans="5:9" ht="12.75">
      <c r="E171" s="2"/>
      <c r="F171" s="2"/>
      <c r="G171" s="2"/>
      <c r="H171" s="2"/>
      <c r="I171" s="2"/>
    </row>
    <row r="172" spans="5:9" ht="12.75">
      <c r="E172" s="2"/>
      <c r="F172" s="2"/>
      <c r="G172" s="2"/>
      <c r="H172" s="2"/>
      <c r="I172" s="2"/>
    </row>
    <row r="173" spans="5:9" ht="12.75">
      <c r="E173" s="2"/>
      <c r="F173" s="2"/>
      <c r="G173" s="2"/>
      <c r="H173" s="2"/>
      <c r="I173" s="2"/>
    </row>
    <row r="174" spans="5:9" ht="12.75">
      <c r="E174" s="2"/>
      <c r="F174" s="2"/>
      <c r="G174" s="2"/>
      <c r="H174" s="2"/>
      <c r="I174" s="2"/>
    </row>
    <row r="175" spans="5:9" ht="12.75">
      <c r="E175" s="2"/>
      <c r="F175" s="2"/>
      <c r="G175" s="2"/>
      <c r="H175" s="2"/>
      <c r="I175" s="2"/>
    </row>
    <row r="176" spans="5:9" ht="12.75">
      <c r="E176" s="2"/>
      <c r="F176" s="2"/>
      <c r="G176" s="2"/>
      <c r="H176" s="2"/>
      <c r="I176" s="2"/>
    </row>
    <row r="177" spans="5:9" ht="12.75">
      <c r="E177" s="2"/>
      <c r="F177" s="2"/>
      <c r="G177" s="2"/>
      <c r="H177" s="2"/>
      <c r="I177" s="2"/>
    </row>
    <row r="178" spans="5:9" ht="12.75">
      <c r="E178" s="2"/>
      <c r="F178" s="2"/>
      <c r="G178" s="2"/>
      <c r="H178" s="2"/>
      <c r="I178" s="2"/>
    </row>
    <row r="179" spans="5:9" ht="12.75">
      <c r="E179" s="2"/>
      <c r="F179" s="2"/>
      <c r="G179" s="2"/>
      <c r="H179" s="2"/>
      <c r="I179" s="2"/>
    </row>
    <row r="180" spans="5:9" ht="12.75">
      <c r="E180" s="2"/>
      <c r="F180" s="2"/>
      <c r="G180" s="2"/>
      <c r="H180" s="2"/>
      <c r="I180" s="2"/>
    </row>
    <row r="181" spans="5:9" ht="12.75">
      <c r="E181" s="2"/>
      <c r="F181" s="2"/>
      <c r="G181" s="2"/>
      <c r="H181" s="2"/>
      <c r="I181" s="2"/>
    </row>
    <row r="182" spans="5:9" ht="12.75">
      <c r="E182" s="2"/>
      <c r="F182" s="2"/>
      <c r="G182" s="2"/>
      <c r="H182" s="2"/>
      <c r="I182" s="2"/>
    </row>
    <row r="183" spans="5:9" ht="12.75">
      <c r="E183" s="2"/>
      <c r="F183" s="2"/>
      <c r="G183" s="2"/>
      <c r="H183" s="2"/>
      <c r="I183" s="2"/>
    </row>
    <row r="184" spans="5:9" ht="12.75">
      <c r="E184" s="2"/>
      <c r="F184" s="2"/>
      <c r="G184" s="2"/>
      <c r="H184" s="2"/>
      <c r="I184" s="2"/>
    </row>
    <row r="185" spans="5:9" ht="12.75">
      <c r="E185" s="2"/>
      <c r="F185" s="2"/>
      <c r="G185" s="2"/>
      <c r="H185" s="2"/>
      <c r="I185" s="2"/>
    </row>
    <row r="186" spans="5:9" ht="12.75">
      <c r="E186" s="2"/>
      <c r="F186" s="2"/>
      <c r="G186" s="2"/>
      <c r="H186" s="2"/>
      <c r="I186" s="2"/>
    </row>
    <row r="187" spans="5:9" ht="12.75">
      <c r="E187" s="2"/>
      <c r="F187" s="2"/>
      <c r="G187" s="2"/>
      <c r="H187" s="2"/>
      <c r="I187" s="2"/>
    </row>
    <row r="188" spans="5:9" ht="12.75">
      <c r="E188" s="2"/>
      <c r="F188" s="2"/>
      <c r="G188" s="2"/>
      <c r="H188" s="2"/>
      <c r="I188" s="2"/>
    </row>
    <row r="189" spans="5:9" ht="12.75">
      <c r="E189" s="2"/>
      <c r="F189" s="2"/>
      <c r="G189" s="2"/>
      <c r="H189" s="2"/>
      <c r="I189" s="2"/>
    </row>
    <row r="190" spans="5:9" ht="12.75">
      <c r="E190" s="2"/>
      <c r="F190" s="2"/>
      <c r="G190" s="2"/>
      <c r="H190" s="2"/>
      <c r="I190" s="2"/>
    </row>
    <row r="191" spans="5:9" ht="12.75">
      <c r="E191" s="2"/>
      <c r="F191" s="2"/>
      <c r="G191" s="2"/>
      <c r="H191" s="2"/>
      <c r="I191" s="2"/>
    </row>
    <row r="192" spans="5:9" ht="12.75">
      <c r="E192" s="2"/>
      <c r="F192" s="2"/>
      <c r="G192" s="2"/>
      <c r="H192" s="2"/>
      <c r="I192" s="2"/>
    </row>
    <row r="193" spans="5:9" ht="12.75">
      <c r="E193" s="2"/>
      <c r="F193" s="2"/>
      <c r="G193" s="2"/>
      <c r="H193" s="2"/>
      <c r="I193" s="2"/>
    </row>
    <row r="194" spans="5:9" ht="12.75">
      <c r="E194" s="2"/>
      <c r="F194" s="2"/>
      <c r="G194" s="2"/>
      <c r="H194" s="2"/>
      <c r="I194" s="2"/>
    </row>
    <row r="195" spans="5:9" ht="12.75">
      <c r="E195" s="2"/>
      <c r="F195" s="2"/>
      <c r="G195" s="2"/>
      <c r="H195" s="2"/>
      <c r="I195" s="2"/>
    </row>
    <row r="196" spans="5:9" ht="12.75">
      <c r="E196" s="2"/>
      <c r="F196" s="2"/>
      <c r="G196" s="2"/>
      <c r="H196" s="2"/>
      <c r="I196" s="2"/>
    </row>
    <row r="197" spans="5:9" ht="12.75">
      <c r="E197" s="2"/>
      <c r="F197" s="2"/>
      <c r="G197" s="2"/>
      <c r="H197" s="2"/>
      <c r="I197" s="2"/>
    </row>
    <row r="198" spans="5:9" ht="12.75">
      <c r="E198" s="2"/>
      <c r="F198" s="2"/>
      <c r="G198" s="2"/>
      <c r="H198" s="2"/>
      <c r="I198" s="2"/>
    </row>
    <row r="199" spans="5:9" ht="12.75">
      <c r="E199" s="2"/>
      <c r="F199" s="2"/>
      <c r="G199" s="2"/>
      <c r="H199" s="2"/>
      <c r="I199" s="2"/>
    </row>
    <row r="200" spans="5:9" ht="12.75">
      <c r="E200" s="2"/>
      <c r="F200" s="2"/>
      <c r="G200" s="2"/>
      <c r="H200" s="2"/>
      <c r="I200" s="2"/>
    </row>
    <row r="201" spans="5:9" ht="12.75">
      <c r="E201" s="2"/>
      <c r="F201" s="2"/>
      <c r="G201" s="2"/>
      <c r="H201" s="2"/>
      <c r="I201" s="2"/>
    </row>
    <row r="202" spans="5:9" ht="12.75">
      <c r="E202" s="2"/>
      <c r="F202" s="2"/>
      <c r="G202" s="2"/>
      <c r="H202" s="2"/>
      <c r="I202" s="2"/>
    </row>
    <row r="203" spans="5:9" ht="12.75">
      <c r="E203" s="2"/>
      <c r="F203" s="2"/>
      <c r="G203" s="2"/>
      <c r="H203" s="2"/>
      <c r="I203" s="2"/>
    </row>
    <row r="204" spans="5:9" ht="12.75">
      <c r="E204" s="2"/>
      <c r="F204" s="2"/>
      <c r="G204" s="2"/>
      <c r="H204" s="2"/>
      <c r="I204" s="2"/>
    </row>
    <row r="205" spans="5:9" ht="12.75">
      <c r="E205" s="2"/>
      <c r="F205" s="2"/>
      <c r="G205" s="2"/>
      <c r="H205" s="2"/>
      <c r="I205" s="2"/>
    </row>
    <row r="206" spans="5:9" ht="12.75">
      <c r="E206" s="2"/>
      <c r="F206" s="2"/>
      <c r="G206" s="2"/>
      <c r="H206" s="2"/>
      <c r="I206" s="2"/>
    </row>
    <row r="207" spans="5:9" ht="12.75">
      <c r="E207" s="2"/>
      <c r="F207" s="2"/>
      <c r="G207" s="2"/>
      <c r="H207" s="2"/>
      <c r="I207" s="2"/>
    </row>
    <row r="208" spans="5:9" ht="12.75">
      <c r="E208" s="2"/>
      <c r="F208" s="2"/>
      <c r="G208" s="2"/>
      <c r="H208" s="2"/>
      <c r="I208" s="2"/>
    </row>
  </sheetData>
  <printOptions/>
  <pageMargins left="0.75" right="0.75" top="1" bottom="1" header="0.5" footer="0.5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22"/>
  <sheetViews>
    <sheetView workbookViewId="0" topLeftCell="A4">
      <selection activeCell="A4" sqref="A4:I35"/>
    </sheetView>
  </sheetViews>
  <sheetFormatPr defaultColWidth="9.140625" defaultRowHeight="12.75"/>
  <cols>
    <col min="9" max="9" width="20.421875" style="0" customWidth="1"/>
  </cols>
  <sheetData>
    <row r="5" ht="23.25">
      <c r="A5" s="32" t="s">
        <v>102</v>
      </c>
    </row>
    <row r="8" ht="12.75">
      <c r="A8" t="s">
        <v>404</v>
      </c>
    </row>
    <row r="9" ht="12.75">
      <c r="A9" t="s">
        <v>405</v>
      </c>
    </row>
    <row r="11" ht="12.75">
      <c r="A11" s="4" t="s">
        <v>406</v>
      </c>
    </row>
    <row r="12" ht="12.75">
      <c r="A12" t="s">
        <v>407</v>
      </c>
    </row>
    <row r="13" ht="12.75">
      <c r="A13" t="s">
        <v>408</v>
      </c>
    </row>
    <row r="15" ht="12.75">
      <c r="A15" s="4" t="s">
        <v>11</v>
      </c>
    </row>
    <row r="16" ht="12.75">
      <c r="A16" t="s">
        <v>409</v>
      </c>
    </row>
    <row r="17" ht="12.75">
      <c r="A17" t="s">
        <v>410</v>
      </c>
    </row>
    <row r="18" ht="12.75">
      <c r="A18" t="s">
        <v>411</v>
      </c>
    </row>
    <row r="19" ht="12.75">
      <c r="A19" t="s">
        <v>412</v>
      </c>
    </row>
    <row r="21" ht="12.75">
      <c r="A21" t="s">
        <v>415</v>
      </c>
    </row>
    <row r="22" ht="12.75">
      <c r="A22" t="s">
        <v>413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8"/>
  <sheetViews>
    <sheetView workbookViewId="0" topLeftCell="A1">
      <selection activeCell="H1" sqref="H1"/>
    </sheetView>
  </sheetViews>
  <sheetFormatPr defaultColWidth="9.140625" defaultRowHeight="12.75"/>
  <cols>
    <col min="2" max="2" width="36.57421875" style="0" customWidth="1"/>
    <col min="3" max="3" width="15.8515625" style="0" bestFit="1" customWidth="1"/>
  </cols>
  <sheetData>
    <row r="1" spans="2:8" ht="23.25">
      <c r="B1" s="32" t="s">
        <v>102</v>
      </c>
      <c r="H1" s="55">
        <v>6</v>
      </c>
    </row>
    <row r="3" ht="20.25">
      <c r="B3" s="31" t="s">
        <v>172</v>
      </c>
    </row>
    <row r="4" spans="2:3" ht="12.75">
      <c r="B4" s="1" t="s">
        <v>2</v>
      </c>
      <c r="C4" s="2">
        <v>308120.72</v>
      </c>
    </row>
    <row r="5" spans="2:3" ht="12.75">
      <c r="B5" s="1" t="s">
        <v>3</v>
      </c>
      <c r="C5" s="2">
        <v>19380</v>
      </c>
    </row>
    <row r="6" spans="2:3" ht="12.75">
      <c r="B6" s="1" t="s">
        <v>4</v>
      </c>
      <c r="C6" s="2">
        <v>103534.8</v>
      </c>
    </row>
    <row r="7" spans="2:3" ht="12.75">
      <c r="B7" s="1" t="s">
        <v>5</v>
      </c>
      <c r="C7" s="2">
        <v>79605.25</v>
      </c>
    </row>
    <row r="8" spans="2:3" ht="12.75">
      <c r="B8" s="1" t="s">
        <v>6</v>
      </c>
      <c r="C8" s="2">
        <v>173973.81</v>
      </c>
    </row>
    <row r="9" spans="2:3" ht="12.75">
      <c r="B9" s="1" t="s">
        <v>7</v>
      </c>
      <c r="C9" s="2">
        <v>14713.86</v>
      </c>
    </row>
    <row r="10" spans="2:3" ht="12.75">
      <c r="B10" s="1" t="s">
        <v>8</v>
      </c>
      <c r="C10" s="2">
        <v>55154.15</v>
      </c>
    </row>
    <row r="11" spans="2:3" ht="12.75">
      <c r="B11" s="1" t="s">
        <v>9</v>
      </c>
      <c r="C11" s="2">
        <v>297578.53</v>
      </c>
    </row>
    <row r="12" spans="2:3" ht="12.75">
      <c r="B12" s="1" t="s">
        <v>10</v>
      </c>
      <c r="C12" s="2">
        <v>121111.22</v>
      </c>
    </row>
    <row r="13" spans="2:3" ht="12.75">
      <c r="B13" s="1" t="s">
        <v>12</v>
      </c>
      <c r="C13" s="2">
        <v>4333.14</v>
      </c>
    </row>
    <row r="14" spans="2:3" ht="12.75">
      <c r="B14" s="1" t="s">
        <v>13</v>
      </c>
      <c r="C14" s="2">
        <v>3885.12</v>
      </c>
    </row>
    <row r="15" spans="2:3" ht="12.75">
      <c r="B15" s="1" t="s">
        <v>14</v>
      </c>
      <c r="C15" s="2">
        <v>36007.19</v>
      </c>
    </row>
    <row r="16" spans="2:3" ht="12.75">
      <c r="B16" s="1" t="s">
        <v>15</v>
      </c>
      <c r="C16" s="2">
        <v>118307.95</v>
      </c>
    </row>
    <row r="17" spans="2:3" ht="12.75">
      <c r="B17" s="1" t="s">
        <v>16</v>
      </c>
      <c r="C17" s="2">
        <v>28011.24</v>
      </c>
    </row>
    <row r="18" spans="2:3" ht="12.75">
      <c r="B18" s="1" t="s">
        <v>17</v>
      </c>
      <c r="C18" s="2">
        <v>44611.46</v>
      </c>
    </row>
    <row r="19" spans="2:3" ht="12.75">
      <c r="B19" s="1" t="s">
        <v>18</v>
      </c>
      <c r="C19" s="2">
        <v>12801.99</v>
      </c>
    </row>
    <row r="20" spans="2:3" ht="12.75">
      <c r="B20" s="1" t="s">
        <v>19</v>
      </c>
      <c r="C20" s="2">
        <v>336308.91</v>
      </c>
    </row>
    <row r="21" spans="2:3" ht="12.75">
      <c r="B21" s="1" t="s">
        <v>20</v>
      </c>
      <c r="C21" s="2">
        <v>182278.8</v>
      </c>
    </row>
    <row r="22" spans="2:3" ht="12.75">
      <c r="B22" s="1" t="s">
        <v>21</v>
      </c>
      <c r="C22" s="2">
        <v>60099.94</v>
      </c>
    </row>
    <row r="23" spans="2:3" ht="12.75">
      <c r="B23" s="1" t="s">
        <v>60</v>
      </c>
      <c r="C23" s="2">
        <v>309146.78</v>
      </c>
    </row>
    <row r="24" spans="2:3" ht="12.75">
      <c r="B24" s="1" t="s">
        <v>61</v>
      </c>
      <c r="C24" s="3">
        <v>361045.55</v>
      </c>
    </row>
    <row r="25" spans="2:3" ht="12.75">
      <c r="B25" s="1" t="s">
        <v>22</v>
      </c>
      <c r="C25" s="2">
        <v>187</v>
      </c>
    </row>
    <row r="26" spans="2:3" ht="12.75">
      <c r="B26" s="1" t="s">
        <v>23</v>
      </c>
      <c r="C26" s="2">
        <v>109675.89</v>
      </c>
    </row>
    <row r="27" spans="2:3" ht="12.75">
      <c r="B27" s="1" t="s">
        <v>24</v>
      </c>
      <c r="C27" s="2">
        <v>382012.33</v>
      </c>
    </row>
    <row r="28" spans="2:3" ht="12.75">
      <c r="B28" s="1" t="s">
        <v>25</v>
      </c>
      <c r="C28" s="2">
        <v>34268.81</v>
      </c>
    </row>
    <row r="29" spans="2:3" ht="12.75">
      <c r="B29" s="1" t="s">
        <v>26</v>
      </c>
      <c r="C29" s="2">
        <v>130644.88</v>
      </c>
    </row>
    <row r="30" spans="2:3" ht="12.75">
      <c r="B30" s="1" t="s">
        <v>27</v>
      </c>
      <c r="C30" s="2">
        <v>167707.7</v>
      </c>
    </row>
    <row r="31" spans="2:3" ht="12.75">
      <c r="B31" s="1" t="s">
        <v>28</v>
      </c>
      <c r="C31" s="2">
        <v>11021.29</v>
      </c>
    </row>
    <row r="32" spans="2:3" ht="12.75">
      <c r="B32" s="1" t="s">
        <v>29</v>
      </c>
      <c r="C32" s="2">
        <v>336687.85</v>
      </c>
    </row>
    <row r="33" spans="2:3" ht="12.75">
      <c r="B33" s="1" t="s">
        <v>30</v>
      </c>
      <c r="C33" s="2">
        <v>3856.36</v>
      </c>
    </row>
    <row r="34" spans="2:3" ht="12.75">
      <c r="B34" s="1" t="s">
        <v>31</v>
      </c>
      <c r="C34" s="2">
        <v>451898.04</v>
      </c>
    </row>
    <row r="35" spans="2:3" ht="12.75">
      <c r="B35" s="1" t="s">
        <v>32</v>
      </c>
      <c r="C35" s="2">
        <v>2250.9</v>
      </c>
    </row>
    <row r="36" spans="2:3" ht="12.75">
      <c r="B36" s="1" t="s">
        <v>33</v>
      </c>
      <c r="C36" s="2">
        <v>14595.11</v>
      </c>
    </row>
    <row r="37" spans="2:3" ht="12.75">
      <c r="B37" s="1" t="s">
        <v>34</v>
      </c>
      <c r="C37" s="2">
        <v>11528.68</v>
      </c>
    </row>
    <row r="38" spans="2:3" ht="12.75">
      <c r="B38" s="1" t="s">
        <v>35</v>
      </c>
      <c r="C38" s="2">
        <v>25319.5</v>
      </c>
    </row>
    <row r="39" spans="2:3" ht="12.75">
      <c r="B39" s="1" t="s">
        <v>36</v>
      </c>
      <c r="C39" s="2">
        <v>118147.34</v>
      </c>
    </row>
    <row r="40" spans="2:3" ht="12.75">
      <c r="B40" s="1" t="s">
        <v>37</v>
      </c>
      <c r="C40" s="2">
        <v>274691.79</v>
      </c>
    </row>
    <row r="41" spans="2:3" ht="12.75">
      <c r="B41" s="1" t="s">
        <v>38</v>
      </c>
      <c r="C41" s="2">
        <v>6662.9</v>
      </c>
    </row>
    <row r="42" spans="2:3" s="45" customFormat="1" ht="16.5" thickBot="1">
      <c r="B42" s="48" t="s">
        <v>194</v>
      </c>
      <c r="C42" s="49">
        <f>SUM(C4:C41)</f>
        <v>4751166.78</v>
      </c>
    </row>
    <row r="43" s="45" customFormat="1" ht="16.5" thickTop="1"/>
    <row r="44" spans="2:3" s="45" customFormat="1" ht="16.5" thickBot="1">
      <c r="B44" s="48" t="s">
        <v>174</v>
      </c>
      <c r="C44" s="49">
        <v>6341831</v>
      </c>
    </row>
    <row r="45" spans="2:3" s="45" customFormat="1" ht="16.5" thickTop="1">
      <c r="B45" s="51"/>
      <c r="C45" s="52"/>
    </row>
    <row r="46" spans="2:3" s="45" customFormat="1" ht="16.5" thickBot="1">
      <c r="B46" s="48" t="s">
        <v>196</v>
      </c>
      <c r="C46" s="49">
        <f>C44-C42</f>
        <v>1590664.2199999997</v>
      </c>
    </row>
    <row r="47" s="45" customFormat="1" ht="16.5" thickTop="1"/>
    <row r="48" spans="2:3" s="45" customFormat="1" ht="16.5" thickBot="1">
      <c r="B48" s="45" t="s">
        <v>195</v>
      </c>
      <c r="C48" s="50">
        <f>C42/C44*100</f>
        <v>74.91790273187665</v>
      </c>
    </row>
    <row r="49" ht="13.5" thickTop="1"/>
  </sheetData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1" sqref="F1"/>
    </sheetView>
  </sheetViews>
  <sheetFormatPr defaultColWidth="9.140625" defaultRowHeight="12.75"/>
  <cols>
    <col min="2" max="2" width="36.57421875" style="0" bestFit="1" customWidth="1"/>
    <col min="3" max="3" width="17.57421875" style="0" bestFit="1" customWidth="1"/>
  </cols>
  <sheetData>
    <row r="1" spans="2:6" ht="23.25">
      <c r="B1" s="32" t="s">
        <v>102</v>
      </c>
      <c r="F1" s="55" t="s">
        <v>416</v>
      </c>
    </row>
    <row r="3" ht="12.75">
      <c r="B3" s="4" t="s">
        <v>173</v>
      </c>
    </row>
    <row r="4" spans="2:3" ht="20.25">
      <c r="B4" s="33" t="s">
        <v>39</v>
      </c>
      <c r="C4" s="3" t="s">
        <v>0</v>
      </c>
    </row>
    <row r="5" spans="2:3" ht="12.75">
      <c r="B5" s="1" t="s">
        <v>40</v>
      </c>
      <c r="C5" s="2">
        <v>7198738.77</v>
      </c>
    </row>
    <row r="6" spans="2:3" ht="12.75">
      <c r="B6" s="1" t="s">
        <v>41</v>
      </c>
      <c r="C6" s="2">
        <v>103700.78</v>
      </c>
    </row>
    <row r="7" spans="2:3" ht="12.75">
      <c r="B7" s="1" t="s">
        <v>42</v>
      </c>
      <c r="C7" s="2">
        <v>7172</v>
      </c>
    </row>
    <row r="8" spans="2:3" ht="12.75">
      <c r="B8" s="1" t="s">
        <v>43</v>
      </c>
      <c r="C8" s="2">
        <v>78956.11</v>
      </c>
    </row>
    <row r="9" spans="2:3" ht="12.75">
      <c r="B9" s="1" t="s">
        <v>44</v>
      </c>
      <c r="C9" s="2">
        <v>14053.5</v>
      </c>
    </row>
    <row r="10" spans="2:3" ht="12.75">
      <c r="B10" s="1" t="s">
        <v>45</v>
      </c>
      <c r="C10" s="2">
        <v>2140052.82</v>
      </c>
    </row>
    <row r="11" spans="2:3" ht="12.75">
      <c r="B11" s="1" t="s">
        <v>46</v>
      </c>
      <c r="C11" s="2">
        <v>4440</v>
      </c>
    </row>
    <row r="12" spans="2:3" ht="12.75">
      <c r="B12" s="1" t="s">
        <v>47</v>
      </c>
      <c r="C12" s="2">
        <v>21784.49</v>
      </c>
    </row>
    <row r="13" spans="2:3" ht="12.75">
      <c r="B13" s="1" t="s">
        <v>48</v>
      </c>
      <c r="C13" s="2">
        <v>216664.44</v>
      </c>
    </row>
    <row r="14" spans="2:3" ht="12.75">
      <c r="B14" s="1" t="s">
        <v>49</v>
      </c>
      <c r="C14" s="2">
        <v>1200355.17</v>
      </c>
    </row>
    <row r="15" spans="2:3" ht="12.75">
      <c r="B15" s="1" t="s">
        <v>50</v>
      </c>
      <c r="C15" s="2">
        <v>42275</v>
      </c>
    </row>
    <row r="16" spans="2:3" ht="12.75">
      <c r="B16" s="1" t="s">
        <v>39</v>
      </c>
      <c r="C16" s="2">
        <v>8815</v>
      </c>
    </row>
    <row r="17" spans="2:3" ht="12.75">
      <c r="B17" s="1" t="s">
        <v>51</v>
      </c>
      <c r="C17" s="2">
        <f>232897.55-214939</f>
        <v>17958.54999999999</v>
      </c>
    </row>
    <row r="18" spans="2:3" ht="12.75">
      <c r="B18" s="1" t="s">
        <v>52</v>
      </c>
      <c r="C18" s="2">
        <v>7822.68</v>
      </c>
    </row>
    <row r="19" spans="2:3" ht="12.75">
      <c r="B19" s="1" t="s">
        <v>53</v>
      </c>
      <c r="C19" s="2">
        <v>60479.16</v>
      </c>
    </row>
    <row r="20" spans="2:3" ht="12.75">
      <c r="B20" s="1" t="s">
        <v>54</v>
      </c>
      <c r="C20" s="2">
        <v>2280</v>
      </c>
    </row>
    <row r="21" spans="2:3" ht="12.75">
      <c r="B21" s="1" t="s">
        <v>55</v>
      </c>
      <c r="C21" s="2">
        <v>97986.69</v>
      </c>
    </row>
    <row r="22" spans="2:3" s="45" customFormat="1" ht="16.5" thickBot="1">
      <c r="B22" s="48" t="s">
        <v>189</v>
      </c>
      <c r="C22" s="49">
        <f>SUM(C5:C21)</f>
        <v>11223535.16</v>
      </c>
    </row>
    <row r="23" s="45" customFormat="1" ht="16.5" thickTop="1"/>
    <row r="24" spans="2:3" s="45" customFormat="1" ht="16.5" thickBot="1">
      <c r="B24" s="48" t="s">
        <v>174</v>
      </c>
      <c r="C24" s="49">
        <v>26631653</v>
      </c>
    </row>
    <row r="25" s="45" customFormat="1" ht="16.5" thickTop="1">
      <c r="C25" s="46"/>
    </row>
    <row r="26" spans="2:3" s="45" customFormat="1" ht="16.5" thickBot="1">
      <c r="B26" s="48" t="s">
        <v>176</v>
      </c>
      <c r="C26" s="168">
        <f>C24-C22</f>
        <v>15408117.84</v>
      </c>
    </row>
    <row r="27" s="45" customFormat="1" ht="16.5" thickTop="1">
      <c r="C27" s="46"/>
    </row>
    <row r="28" spans="2:3" s="45" customFormat="1" ht="16.5" thickBot="1">
      <c r="B28" s="45" t="s">
        <v>195</v>
      </c>
      <c r="C28" s="167">
        <f>C22/C24*100</f>
        <v>42.14359191297664</v>
      </c>
    </row>
    <row r="29" ht="13.5" thickTop="1"/>
    <row r="30" ht="12.75">
      <c r="C30" s="34"/>
    </row>
    <row r="31" ht="12.75">
      <c r="A31" s="4" t="s">
        <v>175</v>
      </c>
    </row>
    <row r="32" ht="12.75">
      <c r="B32" t="s">
        <v>178</v>
      </c>
    </row>
    <row r="33" ht="12.75">
      <c r="B33" t="s">
        <v>177</v>
      </c>
    </row>
    <row r="34" ht="12.75">
      <c r="B34" t="s">
        <v>179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H54"/>
  <sheetViews>
    <sheetView workbookViewId="0" topLeftCell="B1">
      <selection activeCell="E1" sqref="E1"/>
    </sheetView>
  </sheetViews>
  <sheetFormatPr defaultColWidth="9.140625" defaultRowHeight="12.75"/>
  <cols>
    <col min="2" max="2" width="2.28125" style="0" customWidth="1"/>
    <col min="3" max="3" width="43.140625" style="0" customWidth="1"/>
    <col min="4" max="4" width="22.00390625" style="0" customWidth="1"/>
    <col min="5" max="5" width="16.28125" style="0" customWidth="1"/>
    <col min="6" max="6" width="12.8515625" style="0" bestFit="1" customWidth="1"/>
    <col min="7" max="8" width="11.28125" style="0" bestFit="1" customWidth="1"/>
  </cols>
  <sheetData>
    <row r="1" spans="3:5" ht="23.25">
      <c r="C1" s="32" t="s">
        <v>102</v>
      </c>
      <c r="E1" s="55" t="s">
        <v>417</v>
      </c>
    </row>
    <row r="3" ht="12.75">
      <c r="C3" s="4" t="s">
        <v>173</v>
      </c>
    </row>
    <row r="4" ht="12.75">
      <c r="C4" s="4"/>
    </row>
    <row r="5" ht="20.25">
      <c r="C5" s="31" t="s">
        <v>184</v>
      </c>
    </row>
    <row r="6" spans="3:4" ht="12.75">
      <c r="C6" s="1" t="s">
        <v>56</v>
      </c>
      <c r="D6" s="2">
        <v>212590.25</v>
      </c>
    </row>
    <row r="7" spans="3:4" ht="12.75">
      <c r="C7" s="1" t="s">
        <v>57</v>
      </c>
      <c r="D7" s="2">
        <v>159010.26</v>
      </c>
    </row>
    <row r="8" spans="3:4" ht="12.75">
      <c r="C8" s="1" t="s">
        <v>58</v>
      </c>
      <c r="D8" s="2">
        <v>24113.28</v>
      </c>
    </row>
    <row r="9" spans="3:4" ht="12.75">
      <c r="C9" s="1" t="s">
        <v>59</v>
      </c>
      <c r="D9" s="2">
        <v>2052</v>
      </c>
    </row>
    <row r="10" spans="3:8" ht="12.75">
      <c r="C10" s="1" t="s">
        <v>60</v>
      </c>
      <c r="D10" s="2">
        <v>721342.49</v>
      </c>
      <c r="F10" s="2"/>
      <c r="G10" s="2">
        <f>F10*70%</f>
        <v>0</v>
      </c>
      <c r="H10" s="2">
        <f>F10-G10</f>
        <v>0</v>
      </c>
    </row>
    <row r="11" spans="3:8" ht="12.75">
      <c r="C11" s="1" t="s">
        <v>61</v>
      </c>
      <c r="D11" s="2">
        <v>842439.61</v>
      </c>
      <c r="F11" s="2"/>
      <c r="G11" s="2">
        <f>F11*70%</f>
        <v>0</v>
      </c>
      <c r="H11" s="2">
        <f>F11-G11</f>
        <v>0</v>
      </c>
    </row>
    <row r="12" spans="3:4" ht="12.75">
      <c r="C12" s="1" t="s">
        <v>62</v>
      </c>
      <c r="D12" s="2">
        <v>19095.49</v>
      </c>
    </row>
    <row r="13" spans="3:4" ht="12.75">
      <c r="C13" s="1" t="s">
        <v>63</v>
      </c>
      <c r="D13" s="2">
        <v>8173.8</v>
      </c>
    </row>
    <row r="14" spans="3:4" ht="12.75">
      <c r="C14" s="1" t="s">
        <v>64</v>
      </c>
      <c r="D14" s="2">
        <v>560309.14</v>
      </c>
    </row>
    <row r="15" spans="3:4" ht="12.75">
      <c r="C15" s="1" t="s">
        <v>65</v>
      </c>
      <c r="D15" s="2">
        <v>125760.52</v>
      </c>
    </row>
    <row r="16" spans="3:4" ht="12.75">
      <c r="C16" s="1" t="s">
        <v>67</v>
      </c>
      <c r="D16" s="2">
        <v>6930</v>
      </c>
    </row>
    <row r="17" spans="3:4" ht="12.75">
      <c r="C17" s="1" t="s">
        <v>68</v>
      </c>
      <c r="D17" s="2">
        <v>18305</v>
      </c>
    </row>
    <row r="18" spans="3:4" ht="12.75">
      <c r="C18" s="1" t="s">
        <v>69</v>
      </c>
      <c r="D18" s="2">
        <v>22800</v>
      </c>
    </row>
    <row r="19" spans="3:4" ht="12.75">
      <c r="C19" s="1" t="s">
        <v>70</v>
      </c>
      <c r="D19" s="2">
        <v>1595.45</v>
      </c>
    </row>
    <row r="20" spans="3:4" ht="12.75">
      <c r="C20" s="1" t="s">
        <v>71</v>
      </c>
      <c r="D20" s="2">
        <v>1154.56</v>
      </c>
    </row>
    <row r="21" spans="3:4" ht="12.75">
      <c r="C21" s="1" t="s">
        <v>72</v>
      </c>
      <c r="D21" s="2">
        <v>1154.79</v>
      </c>
    </row>
    <row r="22" spans="3:4" ht="12.75">
      <c r="C22" s="1" t="s">
        <v>73</v>
      </c>
      <c r="D22" s="2">
        <v>6197.5</v>
      </c>
    </row>
    <row r="23" spans="3:4" ht="12.75">
      <c r="C23" s="1" t="s">
        <v>74</v>
      </c>
      <c r="D23" s="2">
        <v>3215.06</v>
      </c>
    </row>
    <row r="24" spans="3:4" ht="12.75">
      <c r="C24" s="1" t="s">
        <v>75</v>
      </c>
      <c r="D24" s="2">
        <v>2700.72</v>
      </c>
    </row>
    <row r="25" spans="3:4" ht="12.75">
      <c r="C25" s="1" t="s">
        <v>76</v>
      </c>
      <c r="D25" s="2">
        <v>1154.79</v>
      </c>
    </row>
    <row r="26" spans="3:4" ht="12.75">
      <c r="C26" s="1" t="s">
        <v>77</v>
      </c>
      <c r="D26" s="2">
        <v>1154.79</v>
      </c>
    </row>
    <row r="27" spans="3:4" ht="12.75">
      <c r="C27" s="1" t="s">
        <v>79</v>
      </c>
      <c r="D27" s="2">
        <v>34666.7</v>
      </c>
    </row>
    <row r="28" spans="3:4" ht="12.75">
      <c r="C28" s="1" t="s">
        <v>80</v>
      </c>
      <c r="D28" s="2">
        <v>2250</v>
      </c>
    </row>
    <row r="29" spans="3:4" ht="12.75">
      <c r="C29" s="1" t="s">
        <v>81</v>
      </c>
      <c r="D29" s="2">
        <v>6880</v>
      </c>
    </row>
    <row r="30" spans="3:4" ht="12.75">
      <c r="C30" s="1" t="s">
        <v>82</v>
      </c>
      <c r="D30" s="2">
        <v>2400</v>
      </c>
    </row>
    <row r="31" spans="3:4" ht="12.75">
      <c r="C31" s="1" t="s">
        <v>83</v>
      </c>
      <c r="D31" s="2">
        <v>90495</v>
      </c>
    </row>
    <row r="32" spans="3:4" ht="12.75">
      <c r="C32" s="1" t="s">
        <v>84</v>
      </c>
      <c r="D32" s="2">
        <v>87342.52</v>
      </c>
    </row>
    <row r="33" spans="3:4" ht="12.75">
      <c r="C33" s="1" t="s">
        <v>85</v>
      </c>
      <c r="D33" s="2">
        <v>88150</v>
      </c>
    </row>
    <row r="34" spans="3:4" ht="12.75">
      <c r="C34" s="1" t="s">
        <v>86</v>
      </c>
      <c r="D34" s="2">
        <v>42697.8</v>
      </c>
    </row>
    <row r="35" spans="3:4" ht="12.75">
      <c r="C35" s="1" t="s">
        <v>87</v>
      </c>
      <c r="D35" s="2">
        <v>21140</v>
      </c>
    </row>
    <row r="36" spans="3:4" ht="12.75">
      <c r="C36" s="1" t="s">
        <v>88</v>
      </c>
      <c r="D36" s="2">
        <v>87620.83</v>
      </c>
    </row>
    <row r="37" spans="3:4" ht="12.75">
      <c r="C37" s="1" t="s">
        <v>89</v>
      </c>
      <c r="D37" s="2">
        <v>118390</v>
      </c>
    </row>
    <row r="38" spans="3:4" ht="12.75">
      <c r="C38" s="1" t="s">
        <v>90</v>
      </c>
      <c r="D38" s="2">
        <v>39590</v>
      </c>
    </row>
    <row r="39" spans="3:4" ht="12.75">
      <c r="C39" s="1" t="s">
        <v>91</v>
      </c>
      <c r="D39" s="2">
        <v>87454.5</v>
      </c>
    </row>
    <row r="40" spans="3:4" ht="12.75">
      <c r="C40" s="1" t="s">
        <v>93</v>
      </c>
      <c r="D40" s="2">
        <v>10500</v>
      </c>
    </row>
    <row r="41" spans="3:4" ht="12.75">
      <c r="C41" s="1" t="s">
        <v>94</v>
      </c>
      <c r="D41" s="2">
        <v>200000</v>
      </c>
    </row>
    <row r="42" spans="3:4" ht="12.75">
      <c r="C42" s="1" t="s">
        <v>95</v>
      </c>
      <c r="D42" s="2">
        <v>600</v>
      </c>
    </row>
    <row r="43" spans="3:4" ht="12.75">
      <c r="C43" s="1" t="s">
        <v>96</v>
      </c>
      <c r="D43" s="2">
        <v>1300</v>
      </c>
    </row>
    <row r="44" spans="3:4" ht="12.75">
      <c r="C44" s="1" t="s">
        <v>97</v>
      </c>
      <c r="D44" s="2">
        <v>9750</v>
      </c>
    </row>
    <row r="45" spans="3:4" ht="12.75">
      <c r="C45" s="1" t="s">
        <v>98</v>
      </c>
      <c r="D45" s="2">
        <v>1600</v>
      </c>
    </row>
    <row r="46" spans="3:4" ht="12.75">
      <c r="C46" s="1" t="s">
        <v>99</v>
      </c>
      <c r="D46" s="2">
        <v>1800</v>
      </c>
    </row>
    <row r="47" spans="3:4" ht="12.75">
      <c r="C47" s="1" t="s">
        <v>100</v>
      </c>
      <c r="D47" s="2">
        <v>5698.4</v>
      </c>
    </row>
    <row r="48" spans="3:4" s="54" customFormat="1" ht="16.5" thickBot="1">
      <c r="C48" s="169" t="s">
        <v>192</v>
      </c>
      <c r="D48" s="170">
        <f>SUM(D6:D47)</f>
        <v>3681575.250000001</v>
      </c>
    </row>
    <row r="49" spans="3:4" s="54" customFormat="1" ht="16.5" thickTop="1">
      <c r="C49" s="171"/>
      <c r="D49" s="172"/>
    </row>
    <row r="50" spans="3:4" s="54" customFormat="1" ht="16.5" thickBot="1">
      <c r="C50" s="169" t="s">
        <v>174</v>
      </c>
      <c r="D50" s="173">
        <v>4938017</v>
      </c>
    </row>
    <row r="51" spans="3:4" s="54" customFormat="1" ht="16.5" thickTop="1">
      <c r="C51" s="53"/>
      <c r="D51" s="53"/>
    </row>
    <row r="52" spans="3:4" s="54" customFormat="1" ht="16.5" thickBot="1">
      <c r="C52" s="169" t="s">
        <v>185</v>
      </c>
      <c r="D52" s="174">
        <f>D50-D48</f>
        <v>1256441.749999999</v>
      </c>
    </row>
    <row r="53" s="54" customFormat="1" ht="15.75" thickTop="1"/>
    <row r="54" spans="3:4" s="54" customFormat="1" ht="16.5" thickBot="1">
      <c r="C54" s="53" t="s">
        <v>193</v>
      </c>
      <c r="D54" s="175">
        <f>D48/D50*100</f>
        <v>74.55574272020532</v>
      </c>
    </row>
    <row r="55" ht="13.5" thickTop="1"/>
  </sheetData>
  <printOptions/>
  <pageMargins left="0.75" right="0.75" top="1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7"/>
  <sheetViews>
    <sheetView workbookViewId="0" topLeftCell="A1">
      <selection activeCell="D18" sqref="D18"/>
    </sheetView>
  </sheetViews>
  <sheetFormatPr defaultColWidth="9.140625" defaultRowHeight="12.75"/>
  <cols>
    <col min="1" max="1" width="2.28125" style="0" customWidth="1"/>
    <col min="2" max="2" width="12.57421875" style="0" bestFit="1" customWidth="1"/>
    <col min="4" max="4" width="11.28125" style="0" bestFit="1" customWidth="1"/>
    <col min="5" max="5" width="1.7109375" style="0" customWidth="1"/>
    <col min="6" max="6" width="12.8515625" style="0" bestFit="1" customWidth="1"/>
    <col min="7" max="7" width="1.57421875" style="0" customWidth="1"/>
    <col min="8" max="8" width="12.8515625" style="0" bestFit="1" customWidth="1"/>
    <col min="9" max="9" width="10.28125" style="0" bestFit="1" customWidth="1"/>
  </cols>
  <sheetData>
    <row r="1" spans="2:10" ht="18">
      <c r="B1" s="26" t="s">
        <v>102</v>
      </c>
      <c r="J1" s="55">
        <v>5</v>
      </c>
    </row>
    <row r="3" ht="12.75">
      <c r="B3" s="4" t="s">
        <v>190</v>
      </c>
    </row>
    <row r="4" ht="12.75">
      <c r="B4" s="4"/>
    </row>
    <row r="5" ht="12.75">
      <c r="B5" s="4" t="s">
        <v>191</v>
      </c>
    </row>
    <row r="6" ht="12.75">
      <c r="B6" s="4"/>
    </row>
    <row r="7" spans="2:9" s="4" customFormat="1" ht="13.5" thickBot="1">
      <c r="B7" s="17"/>
      <c r="C7" s="17"/>
      <c r="D7" s="43" t="s">
        <v>187</v>
      </c>
      <c r="E7" s="44"/>
      <c r="F7" s="43" t="s">
        <v>174</v>
      </c>
      <c r="G7" s="44"/>
      <c r="H7" s="43" t="s">
        <v>176</v>
      </c>
      <c r="I7" s="43" t="s">
        <v>188</v>
      </c>
    </row>
    <row r="8" spans="2:9" ht="12.75">
      <c r="B8" t="s">
        <v>153</v>
      </c>
      <c r="D8" s="23">
        <v>94295</v>
      </c>
      <c r="E8" s="2"/>
      <c r="F8" s="23">
        <v>250000</v>
      </c>
      <c r="G8" s="2"/>
      <c r="H8" s="23">
        <v>155705</v>
      </c>
      <c r="I8" s="39">
        <v>37.718</v>
      </c>
    </row>
    <row r="9" spans="2:9" ht="12.75">
      <c r="B9" t="s">
        <v>154</v>
      </c>
      <c r="D9" s="20">
        <v>106915.2</v>
      </c>
      <c r="E9" s="2"/>
      <c r="F9" s="20">
        <v>250000</v>
      </c>
      <c r="G9" s="2"/>
      <c r="H9" s="20">
        <v>143084.8</v>
      </c>
      <c r="I9" s="40">
        <v>42.76608</v>
      </c>
    </row>
    <row r="10" spans="2:9" ht="12.75">
      <c r="B10" t="s">
        <v>155</v>
      </c>
      <c r="D10" s="20">
        <v>59290</v>
      </c>
      <c r="E10" s="2"/>
      <c r="F10" s="20">
        <v>250000</v>
      </c>
      <c r="G10" s="2"/>
      <c r="H10" s="20">
        <v>190710</v>
      </c>
      <c r="I10" s="40">
        <v>23.716</v>
      </c>
    </row>
    <row r="11" spans="2:9" ht="12.75">
      <c r="B11" t="s">
        <v>156</v>
      </c>
      <c r="D11" s="20">
        <v>26390</v>
      </c>
      <c r="E11" s="2"/>
      <c r="F11" s="20">
        <v>250000</v>
      </c>
      <c r="G11" s="2"/>
      <c r="H11" s="20">
        <v>223610</v>
      </c>
      <c r="I11" s="40">
        <v>10.556000000000001</v>
      </c>
    </row>
    <row r="12" spans="2:9" ht="12.75">
      <c r="B12" t="s">
        <v>157</v>
      </c>
      <c r="D12" s="20">
        <v>55997.8</v>
      </c>
      <c r="E12" s="2"/>
      <c r="F12" s="20">
        <v>250000</v>
      </c>
      <c r="G12" s="2"/>
      <c r="H12" s="20">
        <v>194002.2</v>
      </c>
      <c r="I12" s="40">
        <v>22.39912</v>
      </c>
    </row>
    <row r="13" spans="2:9" ht="12.75">
      <c r="B13" t="s">
        <v>158</v>
      </c>
      <c r="D13" s="20">
        <v>76119.35</v>
      </c>
      <c r="E13" s="2"/>
      <c r="F13" s="20">
        <v>250000</v>
      </c>
      <c r="G13" s="2"/>
      <c r="H13" s="20">
        <v>173880.65</v>
      </c>
      <c r="I13" s="40">
        <v>30.44774</v>
      </c>
    </row>
    <row r="14" spans="2:9" ht="12.75">
      <c r="B14" t="s">
        <v>159</v>
      </c>
      <c r="D14" s="20">
        <v>91492.52</v>
      </c>
      <c r="E14" s="2"/>
      <c r="F14" s="20">
        <v>250000</v>
      </c>
      <c r="G14" s="2"/>
      <c r="H14" s="20">
        <v>158507.48</v>
      </c>
      <c r="I14" s="40">
        <v>36.597008</v>
      </c>
    </row>
    <row r="15" spans="2:9" ht="12.75">
      <c r="B15" t="s">
        <v>160</v>
      </c>
      <c r="D15" s="20">
        <v>88150</v>
      </c>
      <c r="E15" s="2"/>
      <c r="F15" s="20">
        <v>250000</v>
      </c>
      <c r="G15" s="2"/>
      <c r="H15" s="20">
        <v>161850</v>
      </c>
      <c r="I15" s="40">
        <v>35.26</v>
      </c>
    </row>
    <row r="16" spans="2:9" ht="12.75">
      <c r="B16" s="15" t="s">
        <v>161</v>
      </c>
      <c r="C16" s="15"/>
      <c r="D16" s="37">
        <v>77930</v>
      </c>
      <c r="E16" s="16"/>
      <c r="F16" s="37">
        <v>250000</v>
      </c>
      <c r="G16" s="16"/>
      <c r="H16" s="37">
        <v>172070</v>
      </c>
      <c r="I16" s="41">
        <v>31.172</v>
      </c>
    </row>
    <row r="17" spans="2:9" s="4" customFormat="1" ht="13.5" thickBot="1">
      <c r="B17" s="35" t="s">
        <v>189</v>
      </c>
      <c r="C17" s="35"/>
      <c r="D17" s="38">
        <f>SUM(D8:D16)</f>
        <v>676579.87</v>
      </c>
      <c r="E17" s="36"/>
      <c r="F17" s="38">
        <f>SUM(F8:F16)</f>
        <v>2250000</v>
      </c>
      <c r="G17" s="36">
        <v>77930</v>
      </c>
      <c r="H17" s="38">
        <f>SUM(H8:H16)</f>
        <v>1573420.13</v>
      </c>
      <c r="I17" s="42">
        <f>D17/F17*100</f>
        <v>30.07021644444444</v>
      </c>
    </row>
    <row r="18" ht="13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H5" sqref="H5"/>
    </sheetView>
  </sheetViews>
  <sheetFormatPr defaultColWidth="9.140625" defaultRowHeight="12.75"/>
  <cols>
    <col min="1" max="1" width="4.421875" style="0" customWidth="1"/>
    <col min="2" max="2" width="17.140625" style="0" customWidth="1"/>
    <col min="5" max="5" width="14.00390625" style="0" bestFit="1" customWidth="1"/>
    <col min="6" max="6" width="23.57421875" style="0" customWidth="1"/>
    <col min="8" max="8" width="20.7109375" style="0" customWidth="1"/>
  </cols>
  <sheetData>
    <row r="1" spans="1:6" ht="18">
      <c r="A1" s="26" t="s">
        <v>102</v>
      </c>
      <c r="F1" s="55">
        <v>2</v>
      </c>
    </row>
    <row r="2" ht="18">
      <c r="A2" s="27"/>
    </row>
    <row r="3" s="4" customFormat="1" ht="18">
      <c r="A3" s="26" t="s">
        <v>104</v>
      </c>
    </row>
    <row r="5" ht="12.75">
      <c r="A5" t="s">
        <v>103</v>
      </c>
    </row>
    <row r="7" ht="13.5" thickBot="1"/>
    <row r="8" spans="1:6" ht="12.75">
      <c r="A8" s="6"/>
      <c r="B8" s="6"/>
      <c r="C8" s="6"/>
      <c r="D8" s="7" t="s">
        <v>105</v>
      </c>
      <c r="E8" s="176" t="s">
        <v>208</v>
      </c>
      <c r="F8" s="8" t="s">
        <v>414</v>
      </c>
    </row>
    <row r="9" spans="1:6" ht="13.5" thickBot="1">
      <c r="A9" s="6"/>
      <c r="B9" s="6"/>
      <c r="C9" s="6"/>
      <c r="D9" s="9"/>
      <c r="E9" s="177" t="s">
        <v>106</v>
      </c>
      <c r="F9" s="10" t="s">
        <v>106</v>
      </c>
    </row>
    <row r="11" spans="2:6" ht="12.75">
      <c r="B11" s="13" t="s">
        <v>186</v>
      </c>
      <c r="C11" s="13"/>
      <c r="D11" s="13"/>
      <c r="E11" s="14">
        <v>19368000</v>
      </c>
      <c r="F11" s="14">
        <v>18990295.88</v>
      </c>
    </row>
    <row r="12" spans="2:6" ht="12.75">
      <c r="B12" s="15" t="s">
        <v>1</v>
      </c>
      <c r="C12" s="15"/>
      <c r="D12" s="15"/>
      <c r="E12" s="16">
        <v>11067.56</v>
      </c>
      <c r="F12" s="16">
        <v>21000</v>
      </c>
    </row>
    <row r="13" spans="2:6" s="4" customFormat="1" ht="12.75">
      <c r="B13" s="4" t="s">
        <v>108</v>
      </c>
      <c r="E13" s="11">
        <f>SUM(E11:E12)</f>
        <v>19379067.56</v>
      </c>
      <c r="F13" s="5">
        <f>SUM(F11:F12)</f>
        <v>19011295.88</v>
      </c>
    </row>
    <row r="14" ht="12.75">
      <c r="F14" s="2"/>
    </row>
    <row r="15" spans="2:6" ht="12.75">
      <c r="B15" t="s">
        <v>109</v>
      </c>
      <c r="E15" s="2">
        <v>361568</v>
      </c>
      <c r="F15" s="2">
        <v>62295.88</v>
      </c>
    </row>
    <row r="16" ht="12.75">
      <c r="F16" s="2"/>
    </row>
    <row r="17" spans="2:6" ht="12.75">
      <c r="B17" s="15" t="s">
        <v>111</v>
      </c>
      <c r="C17" s="15"/>
      <c r="D17" s="28">
        <v>1</v>
      </c>
      <c r="E17" s="16">
        <v>19656277.18</v>
      </c>
      <c r="F17" s="16">
        <v>13931706.02</v>
      </c>
    </row>
    <row r="18" spans="5:6" ht="12.75">
      <c r="E18" s="2"/>
      <c r="F18" s="2"/>
    </row>
    <row r="19" spans="2:6" ht="12.75">
      <c r="B19" s="4" t="s">
        <v>113</v>
      </c>
      <c r="E19" s="2">
        <f>E13+E15-E17</f>
        <v>84358.37999999896</v>
      </c>
      <c r="F19" s="2">
        <f>F13+F15-F17</f>
        <v>5141885.739999998</v>
      </c>
    </row>
    <row r="20" spans="5:6" ht="12.75">
      <c r="E20" s="2"/>
      <c r="F20" s="2"/>
    </row>
    <row r="21" spans="2:6" ht="12.75">
      <c r="B21" s="15" t="s">
        <v>110</v>
      </c>
      <c r="C21" s="15"/>
      <c r="D21" s="15"/>
      <c r="E21" s="16">
        <v>44611</v>
      </c>
      <c r="F21" s="16">
        <v>0</v>
      </c>
    </row>
    <row r="22" spans="2:6" ht="12.75">
      <c r="B22" s="12"/>
      <c r="C22" s="12"/>
      <c r="D22" s="12"/>
      <c r="E22" s="14"/>
      <c r="F22" s="2"/>
    </row>
    <row r="23" spans="2:6" ht="12.75">
      <c r="B23" s="17" t="s">
        <v>112</v>
      </c>
      <c r="C23" s="15"/>
      <c r="D23" s="15"/>
      <c r="E23" s="18">
        <f>E19-E21</f>
        <v>39747.37999999896</v>
      </c>
      <c r="F23" s="18">
        <f>F19-F21</f>
        <v>5141885.739999998</v>
      </c>
    </row>
    <row r="24" spans="5:6" ht="12.75">
      <c r="E24" s="2"/>
      <c r="F24" s="2"/>
    </row>
    <row r="25" spans="5:6" ht="12.75">
      <c r="E25" s="2"/>
      <c r="F25" s="2"/>
    </row>
    <row r="27" ht="12.75">
      <c r="A27" s="4" t="s">
        <v>180</v>
      </c>
    </row>
    <row r="28" spans="1:2" ht="12.75">
      <c r="A28" s="4">
        <v>1</v>
      </c>
      <c r="B28" t="s">
        <v>181</v>
      </c>
    </row>
    <row r="29" ht="12.75">
      <c r="B29" t="s">
        <v>182</v>
      </c>
    </row>
    <row r="30" ht="12.75">
      <c r="B30" t="s">
        <v>183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2">
      <selection activeCell="C15" sqref="C15"/>
    </sheetView>
  </sheetViews>
  <sheetFormatPr defaultColWidth="9.140625" defaultRowHeight="12.75"/>
  <cols>
    <col min="1" max="1" width="48.140625" style="0" bestFit="1" customWidth="1"/>
    <col min="2" max="2" width="1.421875" style="0" customWidth="1"/>
    <col min="3" max="3" width="19.00390625" style="0" bestFit="1" customWidth="1"/>
    <col min="4" max="4" width="2.140625" style="0" customWidth="1"/>
    <col min="5" max="5" width="14.00390625" style="2" bestFit="1" customWidth="1"/>
  </cols>
  <sheetData>
    <row r="1" spans="1:5" ht="20.25">
      <c r="A1" s="29" t="s">
        <v>102</v>
      </c>
      <c r="E1" s="55">
        <v>3</v>
      </c>
    </row>
    <row r="2" ht="20.25">
      <c r="A2" s="29"/>
    </row>
    <row r="3" spans="1:4" ht="20.25">
      <c r="A3" s="29" t="s">
        <v>114</v>
      </c>
      <c r="D3" s="55"/>
    </row>
    <row r="5" ht="12.75">
      <c r="A5" t="s">
        <v>143</v>
      </c>
    </row>
    <row r="8" ht="12.75">
      <c r="A8" s="4" t="s">
        <v>115</v>
      </c>
    </row>
    <row r="10" spans="1:5" ht="13.5" thickBot="1">
      <c r="A10" t="s">
        <v>116</v>
      </c>
      <c r="C10" s="178">
        <f>C12+C13</f>
        <v>10431332.360000001</v>
      </c>
      <c r="D10" s="22"/>
      <c r="E10" s="5">
        <f>E12+E13</f>
        <v>10070050</v>
      </c>
    </row>
    <row r="11" spans="3:5" ht="12.75">
      <c r="C11" s="179"/>
      <c r="D11" s="19"/>
      <c r="E11" s="23"/>
    </row>
    <row r="12" spans="1:5" ht="12.75">
      <c r="A12" t="s">
        <v>117</v>
      </c>
      <c r="C12" s="180">
        <f>1765079.55+7424279.26-3299792.47-289649.68+1306281.78-480092.41+3080433.02-669269.18+1029934-508184.51</f>
        <v>9359019.360000001</v>
      </c>
      <c r="D12" s="20"/>
      <c r="E12" s="20">
        <v>8997738</v>
      </c>
    </row>
    <row r="13" spans="1:5" ht="13.5" thickBot="1">
      <c r="A13" t="s">
        <v>118</v>
      </c>
      <c r="C13" s="181">
        <f>1102950-30637</f>
        <v>1072313</v>
      </c>
      <c r="D13" s="21"/>
      <c r="E13" s="21">
        <v>1072312</v>
      </c>
    </row>
    <row r="14" spans="3:4" ht="12.75">
      <c r="C14" s="182"/>
      <c r="D14" s="2"/>
    </row>
    <row r="15" spans="1:5" ht="13.5" thickBot="1">
      <c r="A15" t="s">
        <v>119</v>
      </c>
      <c r="C15" s="183">
        <f>C17+C18+C19</f>
        <v>11006088.9</v>
      </c>
      <c r="D15" s="5"/>
      <c r="E15" s="5">
        <f>E17+E18+E19</f>
        <v>14902035</v>
      </c>
    </row>
    <row r="16" spans="3:5" ht="12.75">
      <c r="C16" s="184"/>
      <c r="D16" s="23"/>
      <c r="E16" s="23"/>
    </row>
    <row r="17" spans="1:5" ht="12.75">
      <c r="A17" t="s">
        <v>120</v>
      </c>
      <c r="C17" s="180">
        <f>192450-167000-918</f>
        <v>24532</v>
      </c>
      <c r="D17" s="20"/>
      <c r="E17" s="20">
        <v>198364</v>
      </c>
    </row>
    <row r="18" spans="1:5" ht="12.75">
      <c r="A18" t="s">
        <v>101</v>
      </c>
      <c r="C18" s="180">
        <v>6832.3</v>
      </c>
      <c r="D18" s="20"/>
      <c r="E18" s="20"/>
    </row>
    <row r="19" spans="1:5" ht="13.5" thickBot="1">
      <c r="A19" t="s">
        <v>121</v>
      </c>
      <c r="C19" s="181">
        <f>10912790.18+63727.91-1793.49</f>
        <v>10974724.6</v>
      </c>
      <c r="D19" s="21"/>
      <c r="E19" s="21">
        <v>14703671</v>
      </c>
    </row>
    <row r="20" spans="1:5" ht="12.75">
      <c r="A20" s="15"/>
      <c r="B20" s="15"/>
      <c r="C20" s="185"/>
      <c r="D20" s="188"/>
      <c r="E20" s="188"/>
    </row>
    <row r="21" spans="1:5" ht="12.75">
      <c r="A21" s="17" t="s">
        <v>122</v>
      </c>
      <c r="B21" s="15"/>
      <c r="C21" s="186">
        <f>C10+C15</f>
        <v>21437421.26</v>
      </c>
      <c r="D21" s="18"/>
      <c r="E21" s="18">
        <f>E10+E15</f>
        <v>24972085</v>
      </c>
    </row>
    <row r="22" spans="3:4" ht="12.75">
      <c r="C22" s="182"/>
      <c r="D22" s="2"/>
    </row>
    <row r="23" spans="1:4" ht="12.75">
      <c r="A23" s="4" t="s">
        <v>123</v>
      </c>
      <c r="C23" s="182"/>
      <c r="D23" s="2"/>
    </row>
    <row r="24" spans="3:4" ht="12.75">
      <c r="C24" s="182"/>
      <c r="D24" s="2"/>
    </row>
    <row r="25" spans="1:5" ht="13.5" thickBot="1">
      <c r="A25" s="4" t="s">
        <v>124</v>
      </c>
      <c r="C25" s="183">
        <f>C26+C27</f>
        <v>16477405.149999999</v>
      </c>
      <c r="D25" s="5"/>
      <c r="E25" s="5">
        <f>E26+E27</f>
        <v>15382795</v>
      </c>
    </row>
    <row r="26" spans="1:5" ht="12.75">
      <c r="A26" t="s">
        <v>125</v>
      </c>
      <c r="C26" s="184">
        <v>12515136.19</v>
      </c>
      <c r="D26" s="23"/>
      <c r="E26" s="23">
        <v>11333341</v>
      </c>
    </row>
    <row r="27" spans="1:5" ht="13.5" thickBot="1">
      <c r="A27" t="s">
        <v>126</v>
      </c>
      <c r="C27" s="181">
        <v>3962268.96</v>
      </c>
      <c r="D27" s="21"/>
      <c r="E27" s="21">
        <v>4049454</v>
      </c>
    </row>
    <row r="28" spans="3:4" ht="12.75">
      <c r="C28" s="182"/>
      <c r="D28" s="2"/>
    </row>
    <row r="29" spans="1:4" ht="12.75">
      <c r="A29" s="4" t="s">
        <v>127</v>
      </c>
      <c r="C29" s="182"/>
      <c r="D29" s="2"/>
    </row>
    <row r="30" spans="3:4" ht="12.75">
      <c r="C30" s="182"/>
      <c r="D30" s="2"/>
    </row>
    <row r="31" spans="1:4" ht="12.75">
      <c r="A31" s="4" t="s">
        <v>128</v>
      </c>
      <c r="C31" s="182"/>
      <c r="D31" s="2"/>
    </row>
    <row r="32" spans="1:5" ht="12.75">
      <c r="A32" t="s">
        <v>129</v>
      </c>
      <c r="C32" s="182">
        <v>481679</v>
      </c>
      <c r="D32" s="2"/>
      <c r="E32" s="2">
        <v>481679</v>
      </c>
    </row>
    <row r="33" spans="3:4" ht="12.75">
      <c r="C33" s="182"/>
      <c r="D33" s="2"/>
    </row>
    <row r="34" spans="1:5" ht="13.5" thickBot="1">
      <c r="A34" s="4" t="s">
        <v>130</v>
      </c>
      <c r="C34" s="183">
        <f>C35+C36+C37+C38</f>
        <v>4478337.11</v>
      </c>
      <c r="D34" s="5"/>
      <c r="E34" s="5">
        <f>E35+E36+E37+E38</f>
        <v>9107611</v>
      </c>
    </row>
    <row r="35" spans="1:5" ht="12.75">
      <c r="A35" t="s">
        <v>129</v>
      </c>
      <c r="C35" s="184">
        <v>223804</v>
      </c>
      <c r="D35" s="23"/>
      <c r="E35" s="23">
        <v>223804</v>
      </c>
    </row>
    <row r="36" spans="1:5" ht="12.75">
      <c r="A36" t="s">
        <v>131</v>
      </c>
      <c r="C36" s="180">
        <v>147646</v>
      </c>
      <c r="D36" s="20"/>
      <c r="E36" s="20">
        <v>147646</v>
      </c>
    </row>
    <row r="37" spans="1:5" ht="12.75">
      <c r="A37" t="s">
        <v>132</v>
      </c>
      <c r="C37" s="187">
        <f>3298968.89-0.38</f>
        <v>3298968.5100000002</v>
      </c>
      <c r="D37" s="24"/>
      <c r="E37" s="20">
        <v>7927472</v>
      </c>
    </row>
    <row r="38" spans="1:5" ht="13.5" thickBot="1">
      <c r="A38" t="s">
        <v>133</v>
      </c>
      <c r="C38" s="181">
        <v>807918.6</v>
      </c>
      <c r="D38" s="21"/>
      <c r="E38" s="21">
        <v>808689</v>
      </c>
    </row>
    <row r="39" spans="3:4" ht="12.75">
      <c r="C39" s="182"/>
      <c r="D39" s="2"/>
    </row>
    <row r="40" spans="1:5" ht="12.75">
      <c r="A40" s="4" t="s">
        <v>134</v>
      </c>
      <c r="C40" s="183">
        <f>C34+C32</f>
        <v>4960016.11</v>
      </c>
      <c r="D40" s="5"/>
      <c r="E40" s="5">
        <f>E34+E32</f>
        <v>9589290</v>
      </c>
    </row>
    <row r="41" spans="1:5" ht="12.75">
      <c r="A41" s="15"/>
      <c r="B41" s="25"/>
      <c r="C41" s="185"/>
      <c r="D41" s="16"/>
      <c r="E41" s="16"/>
    </row>
    <row r="42" spans="1:5" ht="12.75">
      <c r="A42" s="17" t="s">
        <v>135</v>
      </c>
      <c r="B42" s="15"/>
      <c r="C42" s="186">
        <f>C40+C25</f>
        <v>21437421.259999998</v>
      </c>
      <c r="D42" s="18"/>
      <c r="E42" s="18">
        <f>E40+E25</f>
        <v>24972085</v>
      </c>
    </row>
    <row r="43" spans="3:5" ht="12.75">
      <c r="C43" s="2"/>
      <c r="D43" s="2"/>
      <c r="E43" s="2">
        <f>E42-E21</f>
        <v>0</v>
      </c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1:4" ht="12.75">
      <c r="A49" t="s">
        <v>144</v>
      </c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</sheetData>
  <printOptions/>
  <pageMargins left="0.75" right="0.75" top="1" bottom="1" header="0.5" footer="0.5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1"/>
  <sheetViews>
    <sheetView tabSelected="1" workbookViewId="0" topLeftCell="A1">
      <pane xSplit="5" ySplit="2" topLeftCell="F34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J378"/>
    </sheetView>
  </sheetViews>
  <sheetFormatPr defaultColWidth="9.140625" defaultRowHeight="12.75"/>
  <cols>
    <col min="1" max="1" width="64.57421875" style="0" customWidth="1"/>
    <col min="2" max="2" width="7.28125" style="0" hidden="1" customWidth="1"/>
    <col min="3" max="3" width="4.00390625" style="0" hidden="1" customWidth="1"/>
    <col min="4" max="4" width="3.8515625" style="0" hidden="1" customWidth="1"/>
    <col min="5" max="5" width="11.8515625" style="0" hidden="1" customWidth="1"/>
    <col min="6" max="6" width="15.8515625" style="0" customWidth="1"/>
    <col min="7" max="7" width="13.421875" style="55" customWidth="1"/>
    <col min="8" max="8" width="12.140625" style="0" customWidth="1"/>
    <col min="9" max="9" width="11.00390625" style="0" bestFit="1" customWidth="1"/>
  </cols>
  <sheetData>
    <row r="1" spans="1:9" ht="18">
      <c r="A1" s="26" t="s">
        <v>205</v>
      </c>
      <c r="B1" s="47"/>
      <c r="C1" s="47"/>
      <c r="D1" s="47"/>
      <c r="E1" s="47"/>
      <c r="F1" s="236"/>
      <c r="G1" s="286"/>
      <c r="H1" s="279"/>
      <c r="I1" s="237"/>
    </row>
    <row r="2" spans="1:9" ht="12.75">
      <c r="A2" s="84" t="s">
        <v>206</v>
      </c>
      <c r="B2" s="84"/>
      <c r="C2" s="84"/>
      <c r="D2" s="84"/>
      <c r="E2" s="85"/>
      <c r="F2" s="238" t="s">
        <v>174</v>
      </c>
      <c r="G2" s="287" t="s">
        <v>420</v>
      </c>
      <c r="H2" s="280" t="s">
        <v>176</v>
      </c>
      <c r="I2" s="239" t="s">
        <v>421</v>
      </c>
    </row>
    <row r="3" spans="1:9" ht="12.75">
      <c r="A3" s="86"/>
      <c r="B3" s="86"/>
      <c r="C3" s="86"/>
      <c r="D3" s="86"/>
      <c r="E3" s="196" t="s">
        <v>207</v>
      </c>
      <c r="F3" s="240" t="s">
        <v>208</v>
      </c>
      <c r="G3" s="287"/>
      <c r="H3" s="281"/>
      <c r="I3" s="241"/>
    </row>
    <row r="4" spans="1:9" ht="12.75">
      <c r="A4" s="85" t="s">
        <v>209</v>
      </c>
      <c r="B4" s="86"/>
      <c r="C4" s="86"/>
      <c r="D4" s="86"/>
      <c r="E4" s="197">
        <f>E18</f>
        <v>1605000</v>
      </c>
      <c r="F4" s="242">
        <f>F18</f>
        <v>305000</v>
      </c>
      <c r="G4" s="288">
        <f>G18</f>
        <v>361281.75</v>
      </c>
      <c r="H4" s="282">
        <f>F4-G4</f>
        <v>-56281.75</v>
      </c>
      <c r="I4" s="243">
        <f>G4/F4</f>
        <v>1.1845303278688524</v>
      </c>
    </row>
    <row r="5" spans="1:9" ht="12.75">
      <c r="A5" s="85" t="s">
        <v>210</v>
      </c>
      <c r="B5" s="86"/>
      <c r="C5" s="86"/>
      <c r="D5" s="86"/>
      <c r="E5" s="197">
        <f>E181</f>
        <v>24278043.497009005</v>
      </c>
      <c r="F5" s="242">
        <f>F181</f>
        <v>28160151.5440512</v>
      </c>
      <c r="G5" s="288">
        <f>G181</f>
        <v>11287361.09</v>
      </c>
      <c r="H5" s="282">
        <f>F5-G5</f>
        <v>16872790.4540512</v>
      </c>
      <c r="I5" s="243">
        <f>G5/F5</f>
        <v>0.40082742709473956</v>
      </c>
    </row>
    <row r="6" spans="1:9" ht="12.75">
      <c r="A6" s="85" t="s">
        <v>211</v>
      </c>
      <c r="B6" s="86"/>
      <c r="C6" s="86"/>
      <c r="D6" s="86"/>
      <c r="E6" s="197">
        <f>E288</f>
        <v>6772053.700680001</v>
      </c>
      <c r="F6" s="242">
        <f>F288</f>
        <v>6341831.275948801</v>
      </c>
      <c r="G6" s="288">
        <f>G288</f>
        <v>497078.9</v>
      </c>
      <c r="H6" s="282">
        <f>F6-G6</f>
        <v>5844752.375948801</v>
      </c>
      <c r="I6" s="243">
        <f>G6/F6</f>
        <v>0.07838097205221406</v>
      </c>
    </row>
    <row r="7" spans="1:9" ht="12.75">
      <c r="A7" s="85" t="s">
        <v>212</v>
      </c>
      <c r="B7" s="86"/>
      <c r="C7" s="86"/>
      <c r="D7" s="86"/>
      <c r="E7" s="197">
        <f>E359</f>
        <v>5101903</v>
      </c>
      <c r="F7" s="242">
        <f>F359</f>
        <v>4938017.18</v>
      </c>
      <c r="G7" s="288">
        <f>G359</f>
        <v>873698.2200000002</v>
      </c>
      <c r="H7" s="282">
        <f>F7-G7</f>
        <v>4064318.9599999995</v>
      </c>
      <c r="I7" s="243">
        <f>G7/F7</f>
        <v>0.17693300532421402</v>
      </c>
    </row>
    <row r="8" spans="1:9" ht="12.75">
      <c r="A8" s="85"/>
      <c r="B8" s="86"/>
      <c r="C8" s="86"/>
      <c r="D8" s="86"/>
      <c r="E8" s="197"/>
      <c r="F8" s="244"/>
      <c r="G8" s="288"/>
      <c r="H8" s="281"/>
      <c r="I8" s="241"/>
    </row>
    <row r="9" spans="1:9" ht="12.75">
      <c r="A9" s="87" t="s">
        <v>213</v>
      </c>
      <c r="B9" s="88"/>
      <c r="C9" s="88"/>
      <c r="D9" s="88"/>
      <c r="E9" s="196"/>
      <c r="F9" s="245"/>
      <c r="G9" s="288"/>
      <c r="H9" s="281"/>
      <c r="I9" s="241"/>
    </row>
    <row r="10" spans="1:9" ht="12.75">
      <c r="A10" s="89"/>
      <c r="B10" s="89"/>
      <c r="C10" s="89"/>
      <c r="D10" s="89"/>
      <c r="E10" s="198"/>
      <c r="F10" s="246"/>
      <c r="G10" s="288"/>
      <c r="H10" s="281"/>
      <c r="I10" s="241"/>
    </row>
    <row r="11" spans="1:9" ht="12.75">
      <c r="A11" s="90" t="s">
        <v>214</v>
      </c>
      <c r="B11" s="90"/>
      <c r="C11" s="90"/>
      <c r="D11" s="90"/>
      <c r="E11" s="199">
        <v>296800</v>
      </c>
      <c r="F11" s="246">
        <v>100000</v>
      </c>
      <c r="G11" s="288">
        <f>14766.93+71358.3+5472</f>
        <v>91597.23000000001</v>
      </c>
      <c r="H11" s="282">
        <f>F11-G11</f>
        <v>8402.76999999999</v>
      </c>
      <c r="I11" s="243">
        <f>G11/F11</f>
        <v>0.9159723000000001</v>
      </c>
    </row>
    <row r="12" spans="1:9" ht="12.75">
      <c r="A12" s="90" t="s">
        <v>215</v>
      </c>
      <c r="B12" s="90"/>
      <c r="C12" s="90"/>
      <c r="D12" s="90"/>
      <c r="E12" s="199">
        <v>107060</v>
      </c>
      <c r="F12" s="246">
        <v>50000</v>
      </c>
      <c r="G12" s="288">
        <f>71029.81+24382.23+45945.42+52430.8+17905.4+38650.36+9040.5+10300</f>
        <v>269684.52</v>
      </c>
      <c r="H12" s="282">
        <f>F12-G12</f>
        <v>-219684.52000000002</v>
      </c>
      <c r="I12" s="243">
        <f>G12/F12</f>
        <v>5.3936904000000006</v>
      </c>
    </row>
    <row r="13" spans="1:9" ht="12.75">
      <c r="A13" s="91" t="s">
        <v>216</v>
      </c>
      <c r="B13" s="90"/>
      <c r="C13" s="90"/>
      <c r="D13" s="90"/>
      <c r="E13" s="199">
        <v>450000</v>
      </c>
      <c r="F13" s="246">
        <v>75000</v>
      </c>
      <c r="G13" s="288"/>
      <c r="H13" s="282">
        <f>F13-G13</f>
        <v>75000</v>
      </c>
      <c r="I13" s="241"/>
    </row>
    <row r="14" spans="1:9" ht="12.75">
      <c r="A14" s="91" t="s">
        <v>217</v>
      </c>
      <c r="B14" s="90"/>
      <c r="C14" s="90"/>
      <c r="D14" s="90"/>
      <c r="E14" s="199">
        <v>220000</v>
      </c>
      <c r="F14" s="246">
        <v>80000</v>
      </c>
      <c r="G14" s="288"/>
      <c r="H14" s="282"/>
      <c r="I14" s="243"/>
    </row>
    <row r="15" spans="1:9" ht="12.75">
      <c r="A15" s="90"/>
      <c r="B15" s="90"/>
      <c r="C15" s="90"/>
      <c r="D15" s="90"/>
      <c r="E15" s="199"/>
      <c r="F15" s="246"/>
      <c r="G15" s="288"/>
      <c r="H15" s="281"/>
      <c r="I15" s="241"/>
    </row>
    <row r="16" spans="1:9" ht="31.5" customHeight="1">
      <c r="A16" s="92" t="s">
        <v>218</v>
      </c>
      <c r="B16" s="93"/>
      <c r="C16" s="93"/>
      <c r="D16" s="93"/>
      <c r="E16" s="200">
        <v>531140</v>
      </c>
      <c r="F16" s="246"/>
      <c r="G16" s="288"/>
      <c r="H16" s="281"/>
      <c r="I16" s="241"/>
    </row>
    <row r="17" spans="1:9" ht="13.5" thickBot="1">
      <c r="A17" s="91"/>
      <c r="B17" s="91"/>
      <c r="C17" s="91"/>
      <c r="D17" s="91"/>
      <c r="E17" s="199"/>
      <c r="F17" s="246"/>
      <c r="G17" s="288"/>
      <c r="H17" s="281"/>
      <c r="I17" s="241"/>
    </row>
    <row r="18" spans="1:9" ht="13.5" thickBot="1">
      <c r="A18" s="94" t="s">
        <v>219</v>
      </c>
      <c r="B18" s="95"/>
      <c r="C18" s="95"/>
      <c r="D18" s="95"/>
      <c r="E18" s="201">
        <f>SUM(E11:E17)</f>
        <v>1605000</v>
      </c>
      <c r="F18" s="247">
        <f>SUM(F11:F17)</f>
        <v>305000</v>
      </c>
      <c r="G18" s="289">
        <f>G11+G12+G14</f>
        <v>361281.75</v>
      </c>
      <c r="H18" s="283">
        <f>F18-G18</f>
        <v>-56281.75</v>
      </c>
      <c r="I18" s="248">
        <f>G18/F18</f>
        <v>1.1845303278688524</v>
      </c>
    </row>
    <row r="19" spans="1:9" ht="12.75">
      <c r="A19" s="96"/>
      <c r="B19" s="96"/>
      <c r="C19" s="96"/>
      <c r="D19" s="96"/>
      <c r="E19" s="97"/>
      <c r="F19" s="249"/>
      <c r="G19" s="288"/>
      <c r="H19" s="281"/>
      <c r="I19" s="241"/>
    </row>
    <row r="20" spans="1:9" ht="12.75">
      <c r="A20" s="87" t="s">
        <v>220</v>
      </c>
      <c r="B20" s="87"/>
      <c r="C20" s="87"/>
      <c r="D20" s="87"/>
      <c r="E20" s="202"/>
      <c r="F20" s="250"/>
      <c r="G20" s="288"/>
      <c r="H20" s="281"/>
      <c r="I20" s="241"/>
    </row>
    <row r="21" spans="1:9" ht="12.75">
      <c r="A21" s="98" t="s">
        <v>221</v>
      </c>
      <c r="B21" s="98"/>
      <c r="C21" s="98"/>
      <c r="D21" s="98"/>
      <c r="E21" s="203"/>
      <c r="F21" s="251"/>
      <c r="G21" s="288"/>
      <c r="H21" s="281"/>
      <c r="I21" s="241"/>
    </row>
    <row r="22" spans="1:9" ht="12.75">
      <c r="A22" s="90" t="s">
        <v>222</v>
      </c>
      <c r="B22" s="90"/>
      <c r="C22" s="90"/>
      <c r="D22" s="90"/>
      <c r="E22" s="199">
        <v>659331.0240000001</v>
      </c>
      <c r="F22" s="246">
        <v>760815</v>
      </c>
      <c r="G22" s="288"/>
      <c r="H22" s="281"/>
      <c r="I22" s="241"/>
    </row>
    <row r="23" spans="1:9" ht="12.75">
      <c r="A23" s="91" t="s">
        <v>223</v>
      </c>
      <c r="B23" s="90"/>
      <c r="C23" s="90"/>
      <c r="D23" s="90"/>
      <c r="E23" s="199"/>
      <c r="F23" s="246">
        <f>(760815-565000)/12*18</f>
        <v>293722.5</v>
      </c>
      <c r="G23" s="288"/>
      <c r="H23" s="281"/>
      <c r="I23" s="241"/>
    </row>
    <row r="24" spans="1:9" ht="12.75">
      <c r="A24" s="91" t="s">
        <v>224</v>
      </c>
      <c r="B24" s="91"/>
      <c r="C24" s="91"/>
      <c r="D24" s="91"/>
      <c r="E24" s="199">
        <v>559763.9519999999</v>
      </c>
      <c r="F24" s="246">
        <v>591510</v>
      </c>
      <c r="G24" s="288"/>
      <c r="H24" s="281"/>
      <c r="I24" s="241"/>
    </row>
    <row r="25" spans="1:9" ht="12.75">
      <c r="A25" s="90" t="s">
        <v>225</v>
      </c>
      <c r="B25" s="90"/>
      <c r="C25" s="90"/>
      <c r="D25" s="90"/>
      <c r="E25" s="199">
        <v>2598118.512</v>
      </c>
      <c r="F25" s="246">
        <f>502725*5</f>
        <v>2513625</v>
      </c>
      <c r="G25" s="288"/>
      <c r="H25" s="281"/>
      <c r="I25" s="241"/>
    </row>
    <row r="26" spans="1:9" ht="12.75">
      <c r="A26" s="91" t="s">
        <v>226</v>
      </c>
      <c r="B26" s="91"/>
      <c r="C26" s="91"/>
      <c r="D26" s="91"/>
      <c r="E26" s="199">
        <v>1300101.66</v>
      </c>
      <c r="F26" s="246">
        <f>+F25/3*2</f>
        <v>1675750</v>
      </c>
      <c r="G26" s="288"/>
      <c r="H26" s="281"/>
      <c r="I26" s="241"/>
    </row>
    <row r="27" spans="1:9" ht="12.75">
      <c r="A27" s="99" t="s">
        <v>227</v>
      </c>
      <c r="B27" s="99"/>
      <c r="C27" s="99"/>
      <c r="D27" s="99"/>
      <c r="E27" s="204">
        <f>SUM(E22:E26)</f>
        <v>5117315.148</v>
      </c>
      <c r="F27" s="252">
        <f>SUM(F22:F26)</f>
        <v>5835422.5</v>
      </c>
      <c r="G27" s="288"/>
      <c r="H27" s="281"/>
      <c r="I27" s="241"/>
    </row>
    <row r="28" spans="1:9" ht="12.75">
      <c r="A28" s="100"/>
      <c r="B28" s="100"/>
      <c r="C28" s="100"/>
      <c r="D28" s="100"/>
      <c r="E28" s="205"/>
      <c r="F28" s="253"/>
      <c r="G28" s="288"/>
      <c r="H28" s="281"/>
      <c r="I28" s="241"/>
    </row>
    <row r="29" spans="1:9" ht="12.75">
      <c r="A29" s="101" t="s">
        <v>228</v>
      </c>
      <c r="B29" s="101"/>
      <c r="C29" s="101"/>
      <c r="D29" s="101"/>
      <c r="E29" s="205"/>
      <c r="F29" s="253"/>
      <c r="G29" s="288"/>
      <c r="H29" s="281"/>
      <c r="I29" s="241"/>
    </row>
    <row r="30" spans="1:9" ht="12.75">
      <c r="A30" s="102" t="s">
        <v>229</v>
      </c>
      <c r="B30" s="102"/>
      <c r="C30" s="102"/>
      <c r="D30" s="102"/>
      <c r="E30" s="199">
        <v>619312.7804</v>
      </c>
      <c r="F30" s="246">
        <f>727749*1.06</f>
        <v>771413.9400000001</v>
      </c>
      <c r="G30" s="288"/>
      <c r="H30" s="281"/>
      <c r="I30" s="241"/>
    </row>
    <row r="31" spans="1:9" ht="12.75">
      <c r="A31" s="103" t="s">
        <v>230</v>
      </c>
      <c r="B31" s="103"/>
      <c r="C31" s="103"/>
      <c r="D31" s="103"/>
      <c r="E31" s="199">
        <v>206209.32600000003</v>
      </c>
      <c r="F31" s="246">
        <f>502725*1.06</f>
        <v>532888.5</v>
      </c>
      <c r="G31" s="288"/>
      <c r="H31" s="281"/>
      <c r="I31" s="241"/>
    </row>
    <row r="32" spans="1:9" ht="12.75">
      <c r="A32" s="103" t="s">
        <v>231</v>
      </c>
      <c r="B32" s="103"/>
      <c r="C32" s="103"/>
      <c r="D32" s="103"/>
      <c r="E32" s="199">
        <v>325772.556</v>
      </c>
      <c r="F32" s="246">
        <f>286203*1.06</f>
        <v>303375.18</v>
      </c>
      <c r="G32" s="288"/>
      <c r="H32" s="281"/>
      <c r="I32" s="241"/>
    </row>
    <row r="33" spans="1:9" ht="12.75">
      <c r="A33" s="103" t="s">
        <v>232</v>
      </c>
      <c r="B33" s="103"/>
      <c r="C33" s="103"/>
      <c r="D33" s="103"/>
      <c r="E33" s="199">
        <v>131676</v>
      </c>
      <c r="F33" s="246">
        <f>160221*1.06</f>
        <v>169834.26</v>
      </c>
      <c r="G33" s="288"/>
      <c r="H33" s="281"/>
      <c r="I33" s="241"/>
    </row>
    <row r="34" spans="1:9" ht="12.75">
      <c r="A34" s="100" t="s">
        <v>233</v>
      </c>
      <c r="B34" s="100"/>
      <c r="C34" s="100"/>
      <c r="D34" s="100"/>
      <c r="E34" s="206"/>
      <c r="F34" s="246">
        <v>0</v>
      </c>
      <c r="G34" s="288"/>
      <c r="H34" s="281"/>
      <c r="I34" s="241"/>
    </row>
    <row r="35" spans="1:9" ht="12.75">
      <c r="A35" s="103" t="s">
        <v>234</v>
      </c>
      <c r="B35" s="104"/>
      <c r="C35" s="104"/>
      <c r="D35" s="104"/>
      <c r="E35" s="206">
        <v>131676</v>
      </c>
      <c r="F35" s="246">
        <f>110072*1.06</f>
        <v>116676.32</v>
      </c>
      <c r="G35" s="288"/>
      <c r="H35" s="281"/>
      <c r="I35" s="241"/>
    </row>
    <row r="36" spans="1:9" ht="12.75">
      <c r="A36" s="103" t="s">
        <v>235</v>
      </c>
      <c r="B36" s="103"/>
      <c r="C36" s="103"/>
      <c r="D36" s="103"/>
      <c r="E36" s="199"/>
      <c r="F36" s="246">
        <v>0</v>
      </c>
      <c r="G36" s="288"/>
      <c r="H36" s="281"/>
      <c r="I36" s="241"/>
    </row>
    <row r="37" spans="1:9" ht="12.75">
      <c r="A37" s="102" t="s">
        <v>236</v>
      </c>
      <c r="B37" s="102"/>
      <c r="C37" s="102"/>
      <c r="D37" s="102"/>
      <c r="E37" s="199">
        <v>214528.948</v>
      </c>
      <c r="F37" s="246">
        <f>183475*1.06</f>
        <v>194483.5</v>
      </c>
      <c r="G37" s="288"/>
      <c r="H37" s="281"/>
      <c r="I37" s="241"/>
    </row>
    <row r="38" spans="1:9" ht="12.75">
      <c r="A38" s="102" t="s">
        <v>237</v>
      </c>
      <c r="B38" s="102"/>
      <c r="C38" s="102"/>
      <c r="D38" s="102"/>
      <c r="E38" s="199">
        <v>214528.948</v>
      </c>
      <c r="F38" s="246">
        <f>183680*1.06</f>
        <v>194700.80000000002</v>
      </c>
      <c r="G38" s="288"/>
      <c r="H38" s="281"/>
      <c r="I38" s="241"/>
    </row>
    <row r="39" spans="1:9" ht="12.75">
      <c r="A39" s="103" t="s">
        <v>238</v>
      </c>
      <c r="B39" s="103"/>
      <c r="C39" s="103"/>
      <c r="D39" s="103"/>
      <c r="E39" s="199">
        <v>214528.948</v>
      </c>
      <c r="F39" s="246">
        <f>183680*1.06</f>
        <v>194700.80000000002</v>
      </c>
      <c r="G39" s="288"/>
      <c r="H39" s="281"/>
      <c r="I39" s="241"/>
    </row>
    <row r="40" spans="1:9" ht="12.75">
      <c r="A40" s="103" t="s">
        <v>239</v>
      </c>
      <c r="B40" s="103"/>
      <c r="C40" s="103"/>
      <c r="D40" s="103"/>
      <c r="E40" s="199">
        <v>214529</v>
      </c>
      <c r="F40" s="246">
        <f>183680*1.06</f>
        <v>194700.80000000002</v>
      </c>
      <c r="G40" s="288"/>
      <c r="H40" s="281"/>
      <c r="I40" s="241"/>
    </row>
    <row r="41" spans="1:9" ht="12.75">
      <c r="A41" s="105" t="s">
        <v>227</v>
      </c>
      <c r="B41" s="105"/>
      <c r="C41" s="105"/>
      <c r="D41" s="105"/>
      <c r="E41" s="204">
        <f>SUM(E30:E40)</f>
        <v>2272762.5064000003</v>
      </c>
      <c r="F41" s="252">
        <f>SUM(F30:F40)</f>
        <v>2672774.0999999996</v>
      </c>
      <c r="G41" s="288"/>
      <c r="H41" s="281"/>
      <c r="I41" s="241"/>
    </row>
    <row r="42" spans="1:9" ht="12.75">
      <c r="A42" s="103"/>
      <c r="B42" s="103"/>
      <c r="C42" s="103"/>
      <c r="D42" s="103"/>
      <c r="E42" s="205"/>
      <c r="F42" s="253"/>
      <c r="G42" s="288"/>
      <c r="H42" s="281"/>
      <c r="I42" s="241"/>
    </row>
    <row r="43" spans="1:9" ht="12.75">
      <c r="A43" s="106" t="s">
        <v>240</v>
      </c>
      <c r="B43" s="103"/>
      <c r="C43" s="103"/>
      <c r="D43" s="103"/>
      <c r="E43" s="205"/>
      <c r="F43" s="253"/>
      <c r="G43" s="288"/>
      <c r="H43" s="281"/>
      <c r="I43" s="241"/>
    </row>
    <row r="44" spans="1:9" ht="12.75">
      <c r="A44" s="102" t="s">
        <v>241</v>
      </c>
      <c r="B44" s="103"/>
      <c r="C44" s="103"/>
      <c r="D44" s="103"/>
      <c r="E44" s="205">
        <v>0</v>
      </c>
      <c r="F44" s="253">
        <f>600329.97*1.06</f>
        <v>636349.7682</v>
      </c>
      <c r="G44" s="288"/>
      <c r="H44" s="281"/>
      <c r="I44" s="241"/>
    </row>
    <row r="45" spans="1:9" ht="12.75">
      <c r="A45" s="107" t="s">
        <v>242</v>
      </c>
      <c r="B45" s="103"/>
      <c r="C45" s="103"/>
      <c r="D45" s="103"/>
      <c r="E45" s="205">
        <v>0</v>
      </c>
      <c r="F45" s="253">
        <f>160221*1.06</f>
        <v>169834.26</v>
      </c>
      <c r="G45" s="288"/>
      <c r="H45" s="281"/>
      <c r="I45" s="241"/>
    </row>
    <row r="46" spans="1:9" ht="12.75">
      <c r="A46" s="108"/>
      <c r="B46" s="109"/>
      <c r="C46" s="109"/>
      <c r="D46" s="109"/>
      <c r="E46" s="207">
        <f>SUM(E44:E45)</f>
        <v>0</v>
      </c>
      <c r="F46" s="254">
        <f>SUM(F44:F45)</f>
        <v>806184.0282000001</v>
      </c>
      <c r="G46" s="288"/>
      <c r="H46" s="281"/>
      <c r="I46" s="241"/>
    </row>
    <row r="47" spans="1:9" ht="12.75">
      <c r="A47" s="103"/>
      <c r="B47" s="103"/>
      <c r="C47" s="103"/>
      <c r="D47" s="103"/>
      <c r="E47" s="205"/>
      <c r="F47" s="253"/>
      <c r="G47" s="288"/>
      <c r="H47" s="281"/>
      <c r="I47" s="241"/>
    </row>
    <row r="48" spans="1:9" ht="12.75">
      <c r="A48" s="110" t="s">
        <v>243</v>
      </c>
      <c r="B48" s="110"/>
      <c r="C48" s="110"/>
      <c r="D48" s="110"/>
      <c r="E48" s="205"/>
      <c r="F48" s="246"/>
      <c r="G48" s="288"/>
      <c r="H48" s="281"/>
      <c r="I48" s="241"/>
    </row>
    <row r="49" spans="1:9" ht="12.75">
      <c r="A49" s="102" t="s">
        <v>244</v>
      </c>
      <c r="B49" s="102"/>
      <c r="C49" s="102"/>
      <c r="D49" s="102"/>
      <c r="E49" s="199">
        <v>525789.256</v>
      </c>
      <c r="F49" s="253">
        <f>502725*1.06</f>
        <v>532888.5</v>
      </c>
      <c r="G49" s="288"/>
      <c r="H49" s="281"/>
      <c r="I49" s="241"/>
    </row>
    <row r="50" spans="1:9" ht="12.75">
      <c r="A50" s="100" t="s">
        <v>245</v>
      </c>
      <c r="B50" s="103"/>
      <c r="C50" s="103"/>
      <c r="D50" s="103"/>
      <c r="E50" s="199">
        <v>131675.69524000003</v>
      </c>
      <c r="F50" s="246">
        <f>160221*1.06</f>
        <v>169834.26</v>
      </c>
      <c r="G50" s="288"/>
      <c r="H50" s="281"/>
      <c r="I50" s="241"/>
    </row>
    <row r="51" spans="1:9" ht="12.75">
      <c r="A51" s="100" t="s">
        <v>246</v>
      </c>
      <c r="B51" s="100"/>
      <c r="C51" s="100"/>
      <c r="D51" s="100"/>
      <c r="E51" s="199">
        <f>206209</f>
        <v>206209</v>
      </c>
      <c r="F51" s="246">
        <f>E51*1.06</f>
        <v>218581.54</v>
      </c>
      <c r="G51" s="288"/>
      <c r="H51" s="281"/>
      <c r="I51" s="241"/>
    </row>
    <row r="52" spans="1:9" ht="12.75">
      <c r="A52" s="107" t="s">
        <v>247</v>
      </c>
      <c r="B52" s="100"/>
      <c r="C52" s="100"/>
      <c r="D52" s="100"/>
      <c r="E52" s="199">
        <v>284027.865</v>
      </c>
      <c r="F52" s="246">
        <f>E52*1.06</f>
        <v>301069.5369</v>
      </c>
      <c r="G52" s="288"/>
      <c r="H52" s="281"/>
      <c r="I52" s="241"/>
    </row>
    <row r="53" spans="1:9" ht="12.75">
      <c r="A53" s="100" t="s">
        <v>246</v>
      </c>
      <c r="B53" s="100"/>
      <c r="C53" s="100"/>
      <c r="D53" s="100"/>
      <c r="E53" s="199">
        <f>206209</f>
        <v>206209</v>
      </c>
      <c r="F53" s="246">
        <f>E53*1.06</f>
        <v>218581.54</v>
      </c>
      <c r="G53" s="288"/>
      <c r="H53" s="281"/>
      <c r="I53" s="241"/>
    </row>
    <row r="54" spans="1:9" ht="12.75">
      <c r="A54" s="111"/>
      <c r="B54" s="111"/>
      <c r="C54" s="111"/>
      <c r="D54" s="111"/>
      <c r="E54" s="208">
        <f>SUM(E49:E53)</f>
        <v>1353910.81624</v>
      </c>
      <c r="F54" s="250">
        <f>SUM(F49:F53)</f>
        <v>1440955.3769</v>
      </c>
      <c r="G54" s="288"/>
      <c r="H54" s="281"/>
      <c r="I54" s="241"/>
    </row>
    <row r="55" spans="1:9" ht="12.75">
      <c r="A55" s="100"/>
      <c r="B55" s="100"/>
      <c r="C55" s="100"/>
      <c r="D55" s="100"/>
      <c r="E55" s="199"/>
      <c r="F55" s="246"/>
      <c r="G55" s="288"/>
      <c r="H55" s="281"/>
      <c r="I55" s="241"/>
    </row>
    <row r="56" spans="1:9" ht="12.75">
      <c r="A56" s="106" t="s">
        <v>248</v>
      </c>
      <c r="B56" s="106"/>
      <c r="C56" s="106"/>
      <c r="D56" s="106"/>
      <c r="E56" s="205"/>
      <c r="F56" s="253"/>
      <c r="G56" s="288"/>
      <c r="H56" s="281"/>
      <c r="I56" s="241"/>
    </row>
    <row r="57" spans="1:9" ht="12.75">
      <c r="A57" s="100" t="s">
        <v>244</v>
      </c>
      <c r="B57" s="100"/>
      <c r="C57" s="100"/>
      <c r="D57" s="100"/>
      <c r="E57" s="199">
        <v>525789.256</v>
      </c>
      <c r="F57" s="253">
        <f>502725*1.06</f>
        <v>532888.5</v>
      </c>
      <c r="G57" s="288"/>
      <c r="H57" s="281"/>
      <c r="I57" s="241"/>
    </row>
    <row r="58" spans="1:9" ht="12.75">
      <c r="A58" s="102" t="s">
        <v>249</v>
      </c>
      <c r="B58" s="102"/>
      <c r="C58" s="102"/>
      <c r="D58" s="102"/>
      <c r="E58" s="199">
        <v>325772.556</v>
      </c>
      <c r="F58" s="246">
        <f aca="true" t="shared" si="0" ref="F58:F63">E58*1.06</f>
        <v>345318.90936</v>
      </c>
      <c r="G58" s="288"/>
      <c r="H58" s="281"/>
      <c r="I58" s="241"/>
    </row>
    <row r="59" spans="1:9" ht="12.75">
      <c r="A59" s="100" t="s">
        <v>250</v>
      </c>
      <c r="B59" s="100"/>
      <c r="C59" s="100"/>
      <c r="D59" s="100"/>
      <c r="E59" s="199">
        <v>206209</v>
      </c>
      <c r="F59" s="246">
        <f t="shared" si="0"/>
        <v>218581.54</v>
      </c>
      <c r="G59" s="288"/>
      <c r="H59" s="281"/>
      <c r="I59" s="241"/>
    </row>
    <row r="60" spans="1:9" ht="12.75">
      <c r="A60" s="100" t="s">
        <v>251</v>
      </c>
      <c r="B60" s="100"/>
      <c r="C60" s="100"/>
      <c r="D60" s="100"/>
      <c r="E60" s="199">
        <v>261009.84623999996</v>
      </c>
      <c r="F60" s="246">
        <f t="shared" si="0"/>
        <v>276670.43701439997</v>
      </c>
      <c r="G60" s="288"/>
      <c r="H60" s="281"/>
      <c r="I60" s="241"/>
    </row>
    <row r="61" spans="1:9" ht="12.75">
      <c r="A61" s="100" t="s">
        <v>245</v>
      </c>
      <c r="B61" s="100"/>
      <c r="C61" s="100"/>
      <c r="D61" s="100"/>
      <c r="E61" s="199">
        <v>131675.69524000003</v>
      </c>
      <c r="F61" s="246">
        <f t="shared" si="0"/>
        <v>139576.23695440002</v>
      </c>
      <c r="G61" s="288"/>
      <c r="H61" s="281"/>
      <c r="I61" s="241"/>
    </row>
    <row r="62" spans="1:9" ht="12.75">
      <c r="A62" s="100" t="s">
        <v>252</v>
      </c>
      <c r="B62" s="100"/>
      <c r="C62" s="100"/>
      <c r="D62" s="100"/>
      <c r="E62" s="199">
        <v>214529</v>
      </c>
      <c r="F62" s="246">
        <f t="shared" si="0"/>
        <v>227400.74000000002</v>
      </c>
      <c r="G62" s="288"/>
      <c r="H62" s="281"/>
      <c r="I62" s="241"/>
    </row>
    <row r="63" spans="1:9" ht="12.75">
      <c r="A63" s="103" t="s">
        <v>253</v>
      </c>
      <c r="B63" s="103"/>
      <c r="C63" s="103"/>
      <c r="D63" s="103"/>
      <c r="E63" s="199">
        <v>260850.45616</v>
      </c>
      <c r="F63" s="246">
        <f t="shared" si="0"/>
        <v>276501.4835296</v>
      </c>
      <c r="G63" s="288"/>
      <c r="H63" s="281"/>
      <c r="I63" s="241"/>
    </row>
    <row r="64" spans="1:9" ht="12.75">
      <c r="A64" s="112"/>
      <c r="B64" s="112"/>
      <c r="C64" s="112"/>
      <c r="D64" s="112"/>
      <c r="E64" s="209"/>
      <c r="F64" s="255"/>
      <c r="G64" s="288"/>
      <c r="H64" s="281"/>
      <c r="I64" s="241"/>
    </row>
    <row r="65" spans="1:9" ht="12.75">
      <c r="A65" s="113" t="s">
        <v>254</v>
      </c>
      <c r="B65" s="113"/>
      <c r="C65" s="113"/>
      <c r="D65" s="113"/>
      <c r="E65" s="204">
        <f>SUM(E57:E64)</f>
        <v>1925835.8096399999</v>
      </c>
      <c r="F65" s="252">
        <f>SUM(F57:F64)</f>
        <v>2016937.8468584002</v>
      </c>
      <c r="G65" s="288"/>
      <c r="H65" s="281"/>
      <c r="I65" s="241"/>
    </row>
    <row r="66" spans="1:9" ht="12.75">
      <c r="A66" s="100"/>
      <c r="B66" s="100"/>
      <c r="C66" s="100"/>
      <c r="D66" s="100"/>
      <c r="E66" s="199"/>
      <c r="F66" s="246"/>
      <c r="G66" s="288"/>
      <c r="H66" s="281"/>
      <c r="I66" s="241"/>
    </row>
    <row r="67" spans="1:9" ht="12.75">
      <c r="A67" s="106" t="s">
        <v>255</v>
      </c>
      <c r="B67" s="106"/>
      <c r="C67" s="106"/>
      <c r="D67" s="106"/>
      <c r="E67" s="199"/>
      <c r="F67" s="246"/>
      <c r="G67" s="288"/>
      <c r="H67" s="281"/>
      <c r="I67" s="241"/>
    </row>
    <row r="68" spans="1:9" ht="12.75">
      <c r="A68" s="103" t="s">
        <v>241</v>
      </c>
      <c r="B68" s="103"/>
      <c r="C68" s="103"/>
      <c r="D68" s="103"/>
      <c r="E68" s="199">
        <v>535112.7192</v>
      </c>
      <c r="F68" s="253">
        <f>518172*1.06</f>
        <v>549262.3200000001</v>
      </c>
      <c r="G68" s="288"/>
      <c r="H68" s="281"/>
      <c r="I68" s="241"/>
    </row>
    <row r="69" spans="1:9" ht="12.75">
      <c r="A69" s="100" t="s">
        <v>256</v>
      </c>
      <c r="B69" s="100"/>
      <c r="C69" s="100"/>
      <c r="D69" s="100"/>
      <c r="E69" s="199">
        <v>131675.69524000003</v>
      </c>
      <c r="F69" s="246">
        <f>E69*1.06</f>
        <v>139576.23695440002</v>
      </c>
      <c r="G69" s="288"/>
      <c r="H69" s="281"/>
      <c r="I69" s="241"/>
    </row>
    <row r="70" spans="1:9" ht="12.75">
      <c r="A70" s="100" t="s">
        <v>257</v>
      </c>
      <c r="B70" s="100"/>
      <c r="C70" s="100"/>
      <c r="D70" s="100"/>
      <c r="E70" s="199">
        <v>325773</v>
      </c>
      <c r="F70" s="246">
        <f>E70*1.06</f>
        <v>345319.38</v>
      </c>
      <c r="G70" s="288"/>
      <c r="H70" s="281"/>
      <c r="I70" s="241"/>
    </row>
    <row r="71" spans="1:9" ht="12.75">
      <c r="A71" s="100" t="s">
        <v>258</v>
      </c>
      <c r="B71" s="100"/>
      <c r="C71" s="100"/>
      <c r="D71" s="100"/>
      <c r="E71" s="199">
        <v>214528.948</v>
      </c>
      <c r="F71" s="246">
        <f>E71*1.06</f>
        <v>227400.68488000002</v>
      </c>
      <c r="G71" s="288"/>
      <c r="H71" s="281"/>
      <c r="I71" s="241"/>
    </row>
    <row r="72" spans="1:9" ht="12.75">
      <c r="A72" s="100" t="s">
        <v>259</v>
      </c>
      <c r="B72" s="100"/>
      <c r="C72" s="100"/>
      <c r="D72" s="100"/>
      <c r="E72" s="199">
        <v>214528.948</v>
      </c>
      <c r="F72" s="246">
        <f>E72*1.06</f>
        <v>227400.68488000002</v>
      </c>
      <c r="G72" s="288"/>
      <c r="H72" s="281"/>
      <c r="I72" s="241"/>
    </row>
    <row r="73" spans="1:9" ht="12.75">
      <c r="A73" s="100"/>
      <c r="B73" s="100"/>
      <c r="C73" s="100"/>
      <c r="D73" s="100"/>
      <c r="E73" s="199"/>
      <c r="F73" s="246"/>
      <c r="G73" s="288"/>
      <c r="H73" s="281"/>
      <c r="I73" s="241"/>
    </row>
    <row r="74" spans="1:9" ht="12.75">
      <c r="A74" s="105" t="s">
        <v>254</v>
      </c>
      <c r="B74" s="105"/>
      <c r="C74" s="105"/>
      <c r="D74" s="105"/>
      <c r="E74" s="210">
        <f>SUM(E68:E73)</f>
        <v>1421619.3104400001</v>
      </c>
      <c r="F74" s="256">
        <f>SUM(F68:F73)</f>
        <v>1488959.3067144002</v>
      </c>
      <c r="G74" s="288"/>
      <c r="H74" s="281"/>
      <c r="I74" s="241"/>
    </row>
    <row r="75" spans="1:9" ht="12.75">
      <c r="A75" s="100"/>
      <c r="B75" s="100"/>
      <c r="C75" s="100"/>
      <c r="D75" s="100"/>
      <c r="E75" s="199"/>
      <c r="F75" s="246"/>
      <c r="G75" s="288"/>
      <c r="H75" s="281"/>
      <c r="I75" s="241"/>
    </row>
    <row r="76" spans="1:9" ht="12.75">
      <c r="A76" s="106" t="s">
        <v>260</v>
      </c>
      <c r="B76" s="106"/>
      <c r="C76" s="106"/>
      <c r="D76" s="106"/>
      <c r="E76" s="199"/>
      <c r="F76" s="246"/>
      <c r="G76" s="288"/>
      <c r="H76" s="281"/>
      <c r="I76" s="241"/>
    </row>
    <row r="77" spans="1:9" ht="12.75">
      <c r="A77" s="103" t="s">
        <v>261</v>
      </c>
      <c r="B77" s="103"/>
      <c r="C77" s="103"/>
      <c r="D77" s="103"/>
      <c r="E77" s="199">
        <v>525789.256</v>
      </c>
      <c r="F77" s="253">
        <f>502725*1.06</f>
        <v>532888.5</v>
      </c>
      <c r="G77" s="288"/>
      <c r="H77" s="281"/>
      <c r="I77" s="241"/>
    </row>
    <row r="78" spans="1:9" ht="12.75">
      <c r="A78" s="103" t="s">
        <v>262</v>
      </c>
      <c r="B78" s="103"/>
      <c r="C78" s="103"/>
      <c r="D78" s="103"/>
      <c r="E78" s="199">
        <v>325773</v>
      </c>
      <c r="F78" s="246">
        <f>289940*1.06</f>
        <v>307336.4</v>
      </c>
      <c r="G78" s="288"/>
      <c r="H78" s="281"/>
      <c r="I78" s="241"/>
    </row>
    <row r="79" spans="1:9" ht="12.75">
      <c r="A79" s="100" t="s">
        <v>263</v>
      </c>
      <c r="B79" s="100"/>
      <c r="C79" s="100"/>
      <c r="D79" s="100"/>
      <c r="E79" s="199">
        <v>206209.32600000003</v>
      </c>
      <c r="F79" s="246">
        <f>183845*1.06</f>
        <v>194875.7</v>
      </c>
      <c r="G79" s="288"/>
      <c r="H79" s="281"/>
      <c r="I79" s="241"/>
    </row>
    <row r="80" spans="1:9" ht="12.75">
      <c r="A80" s="100" t="s">
        <v>264</v>
      </c>
      <c r="B80" s="100"/>
      <c r="C80" s="100"/>
      <c r="D80" s="100"/>
      <c r="E80" s="199">
        <v>133482.72600000002</v>
      </c>
      <c r="F80" s="246">
        <f>64143*1.06</f>
        <v>67991.58</v>
      </c>
      <c r="G80" s="288"/>
      <c r="H80" s="281"/>
      <c r="I80" s="241"/>
    </row>
    <row r="81" spans="1:9" ht="12.75">
      <c r="A81" s="100" t="s">
        <v>232</v>
      </c>
      <c r="B81" s="100"/>
      <c r="C81" s="100"/>
      <c r="D81" s="100"/>
      <c r="E81" s="199">
        <v>155981.58216000002</v>
      </c>
      <c r="F81" s="246">
        <f>110535*1.06</f>
        <v>117167.1</v>
      </c>
      <c r="G81" s="288"/>
      <c r="H81" s="281"/>
      <c r="I81" s="241"/>
    </row>
    <row r="82" spans="1:9" ht="12.75">
      <c r="A82" s="100" t="s">
        <v>265</v>
      </c>
      <c r="B82" s="100"/>
      <c r="C82" s="100"/>
      <c r="D82" s="100"/>
      <c r="E82" s="199">
        <v>133482.72600000002</v>
      </c>
      <c r="F82" s="246">
        <f>E82*1.06</f>
        <v>141491.68956000003</v>
      </c>
      <c r="G82" s="288"/>
      <c r="H82" s="281"/>
      <c r="I82" s="241"/>
    </row>
    <row r="83" spans="1:9" ht="12.75">
      <c r="A83" s="102" t="s">
        <v>266</v>
      </c>
      <c r="B83" s="102"/>
      <c r="C83" s="102"/>
      <c r="D83" s="102"/>
      <c r="E83" s="199">
        <v>98561.874</v>
      </c>
      <c r="F83" s="246">
        <f>E83*1.06</f>
        <v>104475.58644</v>
      </c>
      <c r="G83" s="288"/>
      <c r="H83" s="281"/>
      <c r="I83" s="241"/>
    </row>
    <row r="84" spans="1:9" ht="12.75">
      <c r="A84" s="114" t="s">
        <v>267</v>
      </c>
      <c r="B84" s="114"/>
      <c r="C84" s="114"/>
      <c r="D84" s="114"/>
      <c r="E84" s="200">
        <v>83214.77</v>
      </c>
      <c r="F84" s="246">
        <f>E84*1.06</f>
        <v>88207.65620000001</v>
      </c>
      <c r="G84" s="288"/>
      <c r="H84" s="281"/>
      <c r="I84" s="241"/>
    </row>
    <row r="85" spans="1:9" ht="12.75">
      <c r="A85" s="114"/>
      <c r="B85" s="114"/>
      <c r="C85" s="114"/>
      <c r="D85" s="114"/>
      <c r="E85" s="211"/>
      <c r="F85" s="257"/>
      <c r="G85" s="288"/>
      <c r="H85" s="281"/>
      <c r="I85" s="241"/>
    </row>
    <row r="86" spans="1:9" ht="12.75">
      <c r="A86" s="115" t="s">
        <v>227</v>
      </c>
      <c r="B86" s="115"/>
      <c r="C86" s="115"/>
      <c r="D86" s="115"/>
      <c r="E86" s="212">
        <f>SUM(E77:E85)</f>
        <v>1662495.2601600003</v>
      </c>
      <c r="F86" s="258">
        <f>SUM(F77:F85)</f>
        <v>1554434.2122000004</v>
      </c>
      <c r="G86" s="288"/>
      <c r="H86" s="281"/>
      <c r="I86" s="241"/>
    </row>
    <row r="87" spans="1:9" ht="12.75">
      <c r="A87" s="116"/>
      <c r="B87" s="116"/>
      <c r="C87" s="116"/>
      <c r="D87" s="116"/>
      <c r="E87" s="213"/>
      <c r="F87" s="259"/>
      <c r="G87" s="288"/>
      <c r="H87" s="281"/>
      <c r="I87" s="241"/>
    </row>
    <row r="88" spans="1:9" ht="12.75">
      <c r="A88" s="116"/>
      <c r="B88" s="116"/>
      <c r="C88" s="116"/>
      <c r="D88" s="116"/>
      <c r="E88" s="213"/>
      <c r="F88" s="259"/>
      <c r="G88" s="288"/>
      <c r="H88" s="281"/>
      <c r="I88" s="241"/>
    </row>
    <row r="89" spans="1:9" ht="12.75">
      <c r="A89" s="117" t="s">
        <v>268</v>
      </c>
      <c r="B89" s="117"/>
      <c r="C89" s="117"/>
      <c r="D89" s="117"/>
      <c r="E89" s="211"/>
      <c r="F89" s="257"/>
      <c r="G89" s="288"/>
      <c r="H89" s="281"/>
      <c r="I89" s="241"/>
    </row>
    <row r="90" spans="1:9" ht="12.75">
      <c r="A90" s="118" t="s">
        <v>269</v>
      </c>
      <c r="B90" s="118"/>
      <c r="C90" s="118"/>
      <c r="D90" s="118"/>
      <c r="E90" s="200"/>
      <c r="F90" s="246"/>
      <c r="G90" s="288"/>
      <c r="H90" s="281"/>
      <c r="I90" s="241"/>
    </row>
    <row r="91" spans="1:9" ht="12.75">
      <c r="A91" s="119" t="s">
        <v>270</v>
      </c>
      <c r="B91" s="119"/>
      <c r="C91" s="119"/>
      <c r="D91" s="119"/>
      <c r="E91" s="200">
        <v>206209</v>
      </c>
      <c r="F91" s="246">
        <f aca="true" t="shared" si="1" ref="F91:F96">E91*1.06</f>
        <v>218581.54</v>
      </c>
      <c r="G91" s="288"/>
      <c r="H91" s="281"/>
      <c r="I91" s="241"/>
    </row>
    <row r="92" spans="1:9" ht="12.75">
      <c r="A92" s="119" t="s">
        <v>271</v>
      </c>
      <c r="B92" s="119"/>
      <c r="C92" s="119"/>
      <c r="D92" s="119"/>
      <c r="E92" s="200">
        <v>210809</v>
      </c>
      <c r="F92" s="246">
        <f t="shared" si="1"/>
        <v>223457.54</v>
      </c>
      <c r="G92" s="288"/>
      <c r="H92" s="281"/>
      <c r="I92" s="241"/>
    </row>
    <row r="93" spans="1:9" ht="12.75">
      <c r="A93" s="114" t="s">
        <v>272</v>
      </c>
      <c r="B93" s="114"/>
      <c r="C93" s="114"/>
      <c r="D93" s="114"/>
      <c r="E93" s="200">
        <v>216809.32600000003</v>
      </c>
      <c r="F93" s="246">
        <f>289940*1.06</f>
        <v>307336.4</v>
      </c>
      <c r="G93" s="288"/>
      <c r="H93" s="281"/>
      <c r="I93" s="241"/>
    </row>
    <row r="94" spans="1:9" ht="12.75">
      <c r="A94" s="114" t="s">
        <v>256</v>
      </c>
      <c r="B94" s="114"/>
      <c r="C94" s="114"/>
      <c r="D94" s="114"/>
      <c r="E94" s="200">
        <v>133482.72600000002</v>
      </c>
      <c r="F94" s="246">
        <f t="shared" si="1"/>
        <v>141491.68956000003</v>
      </c>
      <c r="G94" s="288"/>
      <c r="H94" s="281"/>
      <c r="I94" s="241"/>
    </row>
    <row r="95" spans="1:9" ht="12.75">
      <c r="A95" s="114" t="s">
        <v>267</v>
      </c>
      <c r="B95" s="114"/>
      <c r="C95" s="114"/>
      <c r="D95" s="114"/>
      <c r="E95" s="200">
        <v>83214.77</v>
      </c>
      <c r="F95" s="246">
        <f t="shared" si="1"/>
        <v>88207.65620000001</v>
      </c>
      <c r="G95" s="288"/>
      <c r="H95" s="281"/>
      <c r="I95" s="241"/>
    </row>
    <row r="96" spans="1:9" ht="12.75">
      <c r="A96" s="114" t="s">
        <v>246</v>
      </c>
      <c r="B96" s="119"/>
      <c r="C96" s="119"/>
      <c r="D96" s="119"/>
      <c r="E96" s="200">
        <v>206209</v>
      </c>
      <c r="F96" s="246">
        <f t="shared" si="1"/>
        <v>218581.54</v>
      </c>
      <c r="G96" s="288"/>
      <c r="H96" s="281"/>
      <c r="I96" s="241"/>
    </row>
    <row r="97" spans="1:9" ht="12.75">
      <c r="A97" s="115" t="s">
        <v>227</v>
      </c>
      <c r="B97" s="115"/>
      <c r="C97" s="115"/>
      <c r="D97" s="115"/>
      <c r="E97" s="212">
        <f>SUM(E91:E96)</f>
        <v>1056733.8220000002</v>
      </c>
      <c r="F97" s="258">
        <f>SUM(F91:F96)</f>
        <v>1197656.36576</v>
      </c>
      <c r="G97" s="288"/>
      <c r="H97" s="281"/>
      <c r="I97" s="241"/>
    </row>
    <row r="98" spans="1:9" ht="12.75">
      <c r="A98" s="114"/>
      <c r="B98" s="114"/>
      <c r="C98" s="114"/>
      <c r="D98" s="114"/>
      <c r="E98" s="211"/>
      <c r="F98" s="257"/>
      <c r="G98" s="288"/>
      <c r="H98" s="281"/>
      <c r="I98" s="241"/>
    </row>
    <row r="99" spans="1:9" ht="12.75">
      <c r="A99" s="118" t="s">
        <v>273</v>
      </c>
      <c r="B99" s="118"/>
      <c r="C99" s="118"/>
      <c r="D99" s="118"/>
      <c r="E99" s="200"/>
      <c r="F99" s="246"/>
      <c r="G99" s="288"/>
      <c r="H99" s="281"/>
      <c r="I99" s="241"/>
    </row>
    <row r="100" spans="1:9" ht="12.75">
      <c r="A100" s="114" t="s">
        <v>272</v>
      </c>
      <c r="B100" s="114"/>
      <c r="C100" s="114"/>
      <c r="D100" s="114"/>
      <c r="E100" s="200">
        <v>216809.32600000003</v>
      </c>
      <c r="F100" s="246">
        <f>289940*1.06</f>
        <v>307336.4</v>
      </c>
      <c r="G100" s="288"/>
      <c r="H100" s="281"/>
      <c r="I100" s="241"/>
    </row>
    <row r="101" spans="1:9" ht="12.75">
      <c r="A101" s="119" t="s">
        <v>270</v>
      </c>
      <c r="B101" s="119"/>
      <c r="C101" s="119"/>
      <c r="D101" s="119"/>
      <c r="E101" s="200">
        <v>206209</v>
      </c>
      <c r="F101" s="246">
        <f>E101*1.06</f>
        <v>218581.54</v>
      </c>
      <c r="G101" s="288"/>
      <c r="H101" s="281"/>
      <c r="I101" s="241"/>
    </row>
    <row r="102" spans="1:9" ht="12.75">
      <c r="A102" s="119" t="s">
        <v>271</v>
      </c>
      <c r="B102" s="119"/>
      <c r="C102" s="119"/>
      <c r="D102" s="119"/>
      <c r="E102" s="200">
        <v>210809</v>
      </c>
      <c r="F102" s="246">
        <f>E102*1.06</f>
        <v>223457.54</v>
      </c>
      <c r="G102" s="288"/>
      <c r="H102" s="281"/>
      <c r="I102" s="241"/>
    </row>
    <row r="103" spans="1:9" ht="12.75">
      <c r="A103" s="114" t="s">
        <v>256</v>
      </c>
      <c r="B103" s="114"/>
      <c r="C103" s="114"/>
      <c r="D103" s="114"/>
      <c r="E103" s="200">
        <v>133482.72600000002</v>
      </c>
      <c r="F103" s="246">
        <f>E103*1.06</f>
        <v>141491.68956000003</v>
      </c>
      <c r="G103" s="288"/>
      <c r="H103" s="281"/>
      <c r="I103" s="241"/>
    </row>
    <row r="104" spans="1:9" ht="12.75">
      <c r="A104" s="114" t="s">
        <v>267</v>
      </c>
      <c r="B104" s="114"/>
      <c r="C104" s="114"/>
      <c r="D104" s="114"/>
      <c r="E104" s="200">
        <v>83214.77</v>
      </c>
      <c r="F104" s="246">
        <f>E104*1.06</f>
        <v>88207.65620000001</v>
      </c>
      <c r="G104" s="288"/>
      <c r="H104" s="281"/>
      <c r="I104" s="241"/>
    </row>
    <row r="105" spans="1:9" ht="12.75">
      <c r="A105" s="114" t="s">
        <v>246</v>
      </c>
      <c r="B105" s="119"/>
      <c r="C105" s="119"/>
      <c r="D105" s="119"/>
      <c r="E105" s="200">
        <v>206209</v>
      </c>
      <c r="F105" s="246">
        <f>E105*1.06</f>
        <v>218581.54</v>
      </c>
      <c r="G105" s="288"/>
      <c r="H105" s="281"/>
      <c r="I105" s="241"/>
    </row>
    <row r="106" spans="1:9" ht="12.75">
      <c r="A106" s="115" t="s">
        <v>227</v>
      </c>
      <c r="B106" s="115"/>
      <c r="C106" s="115"/>
      <c r="D106" s="115"/>
      <c r="E106" s="212">
        <f>SUM(E100:E105)</f>
        <v>1056733.8220000002</v>
      </c>
      <c r="F106" s="258">
        <f>SUM(F100:F105)</f>
        <v>1197656.36576</v>
      </c>
      <c r="G106" s="288"/>
      <c r="H106" s="281"/>
      <c r="I106" s="241"/>
    </row>
    <row r="107" spans="1:9" ht="12.75">
      <c r="A107" s="120"/>
      <c r="B107" s="120"/>
      <c r="C107" s="120"/>
      <c r="D107" s="120"/>
      <c r="E107" s="211"/>
      <c r="F107" s="257"/>
      <c r="G107" s="288"/>
      <c r="H107" s="281"/>
      <c r="I107" s="241"/>
    </row>
    <row r="108" spans="1:9" ht="12.75">
      <c r="A108" s="118" t="s">
        <v>274</v>
      </c>
      <c r="B108" s="118"/>
      <c r="C108" s="118"/>
      <c r="D108" s="118"/>
      <c r="E108" s="200"/>
      <c r="F108" s="246"/>
      <c r="G108" s="288"/>
      <c r="H108" s="281"/>
      <c r="I108" s="241"/>
    </row>
    <row r="109" spans="1:9" ht="12.75">
      <c r="A109" s="114" t="s">
        <v>272</v>
      </c>
      <c r="B109" s="114"/>
      <c r="C109" s="114"/>
      <c r="D109" s="114"/>
      <c r="E109" s="200">
        <v>216809.32600000003</v>
      </c>
      <c r="F109" s="246">
        <f>289940*1.06</f>
        <v>307336.4</v>
      </c>
      <c r="G109" s="288"/>
      <c r="H109" s="281"/>
      <c r="I109" s="241"/>
    </row>
    <row r="110" spans="1:9" ht="12.75">
      <c r="A110" s="119" t="s">
        <v>270</v>
      </c>
      <c r="B110" s="119"/>
      <c r="C110" s="119"/>
      <c r="D110" s="119"/>
      <c r="E110" s="200">
        <v>206209</v>
      </c>
      <c r="F110" s="246">
        <f>E110*1.06</f>
        <v>218581.54</v>
      </c>
      <c r="G110" s="288"/>
      <c r="H110" s="281"/>
      <c r="I110" s="241"/>
    </row>
    <row r="111" spans="1:9" ht="12.75">
      <c r="A111" s="119" t="s">
        <v>271</v>
      </c>
      <c r="B111" s="119"/>
      <c r="C111" s="119"/>
      <c r="D111" s="119"/>
      <c r="E111" s="200">
        <v>210809</v>
      </c>
      <c r="F111" s="246">
        <f>E111*1.06</f>
        <v>223457.54</v>
      </c>
      <c r="G111" s="288"/>
      <c r="H111" s="281"/>
      <c r="I111" s="241"/>
    </row>
    <row r="112" spans="1:9" ht="12.75">
      <c r="A112" s="114" t="s">
        <v>256</v>
      </c>
      <c r="B112" s="114"/>
      <c r="C112" s="114"/>
      <c r="D112" s="114"/>
      <c r="E112" s="200">
        <v>133482.72600000002</v>
      </c>
      <c r="F112" s="246">
        <f>E112*1.06</f>
        <v>141491.68956000003</v>
      </c>
      <c r="G112" s="288"/>
      <c r="H112" s="281"/>
      <c r="I112" s="241"/>
    </row>
    <row r="113" spans="1:9" ht="12.75">
      <c r="A113" s="114" t="s">
        <v>267</v>
      </c>
      <c r="B113" s="114"/>
      <c r="C113" s="114"/>
      <c r="D113" s="114"/>
      <c r="E113" s="200">
        <v>83214.77</v>
      </c>
      <c r="F113" s="246">
        <f>E113*1.06</f>
        <v>88207.65620000001</v>
      </c>
      <c r="G113" s="288"/>
      <c r="H113" s="281"/>
      <c r="I113" s="241"/>
    </row>
    <row r="114" spans="1:9" ht="12.75">
      <c r="A114" s="114" t="s">
        <v>246</v>
      </c>
      <c r="B114" s="119"/>
      <c r="C114" s="119"/>
      <c r="D114" s="119"/>
      <c r="E114" s="200">
        <v>206209</v>
      </c>
      <c r="F114" s="246">
        <f>E114*1.06</f>
        <v>218581.54</v>
      </c>
      <c r="G114" s="288"/>
      <c r="H114" s="281"/>
      <c r="I114" s="241"/>
    </row>
    <row r="115" spans="1:9" ht="12.75">
      <c r="A115" s="115" t="s">
        <v>227</v>
      </c>
      <c r="B115" s="115"/>
      <c r="C115" s="115"/>
      <c r="D115" s="115"/>
      <c r="E115" s="212">
        <f>SUM(E109:E114)</f>
        <v>1056733.8220000002</v>
      </c>
      <c r="F115" s="258">
        <f>SUM(F109:F114)</f>
        <v>1197656.36576</v>
      </c>
      <c r="G115" s="288"/>
      <c r="H115" s="281"/>
      <c r="I115" s="241"/>
    </row>
    <row r="116" spans="1:9" ht="12.75">
      <c r="A116" s="119"/>
      <c r="B116" s="119"/>
      <c r="C116" s="119"/>
      <c r="D116" s="119"/>
      <c r="E116" s="200"/>
      <c r="F116" s="246"/>
      <c r="G116" s="288"/>
      <c r="H116" s="281"/>
      <c r="I116" s="241"/>
    </row>
    <row r="117" spans="1:9" ht="12.75">
      <c r="A117" s="118" t="s">
        <v>275</v>
      </c>
      <c r="B117" s="118"/>
      <c r="C117" s="118"/>
      <c r="D117" s="118"/>
      <c r="E117" s="200"/>
      <c r="F117" s="246"/>
      <c r="G117" s="288"/>
      <c r="H117" s="281"/>
      <c r="I117" s="241"/>
    </row>
    <row r="118" spans="1:9" ht="12.75">
      <c r="A118" s="114" t="s">
        <v>272</v>
      </c>
      <c r="B118" s="114"/>
      <c r="C118" s="114"/>
      <c r="D118" s="114"/>
      <c r="E118" s="200">
        <v>216809.32600000003</v>
      </c>
      <c r="F118" s="246">
        <f>289940*1.06</f>
        <v>307336.4</v>
      </c>
      <c r="G118" s="288"/>
      <c r="H118" s="281"/>
      <c r="I118" s="241"/>
    </row>
    <row r="119" spans="1:9" ht="12.75">
      <c r="A119" s="119" t="s">
        <v>270</v>
      </c>
      <c r="B119" s="119"/>
      <c r="C119" s="119"/>
      <c r="D119" s="119"/>
      <c r="E119" s="200">
        <v>206209</v>
      </c>
      <c r="F119" s="246">
        <f>E119*1.06</f>
        <v>218581.54</v>
      </c>
      <c r="G119" s="288"/>
      <c r="H119" s="281"/>
      <c r="I119" s="241"/>
    </row>
    <row r="120" spans="1:9" ht="12.75">
      <c r="A120" s="119" t="s">
        <v>271</v>
      </c>
      <c r="B120" s="119"/>
      <c r="C120" s="119"/>
      <c r="D120" s="119"/>
      <c r="E120" s="200">
        <v>210809</v>
      </c>
      <c r="F120" s="246">
        <f>E120*1.06</f>
        <v>223457.54</v>
      </c>
      <c r="G120" s="288"/>
      <c r="H120" s="281"/>
      <c r="I120" s="241"/>
    </row>
    <row r="121" spans="1:9" ht="12.75">
      <c r="A121" s="114" t="s">
        <v>256</v>
      </c>
      <c r="B121" s="114"/>
      <c r="C121" s="114"/>
      <c r="D121" s="114"/>
      <c r="E121" s="200">
        <v>133482.72600000002</v>
      </c>
      <c r="F121" s="246">
        <f>E121*1.06</f>
        <v>141491.68956000003</v>
      </c>
      <c r="G121" s="288"/>
      <c r="H121" s="281"/>
      <c r="I121" s="241"/>
    </row>
    <row r="122" spans="1:9" ht="12.75">
      <c r="A122" s="114" t="s">
        <v>267</v>
      </c>
      <c r="B122" s="114"/>
      <c r="C122" s="114"/>
      <c r="D122" s="114"/>
      <c r="E122" s="200">
        <v>83214.77</v>
      </c>
      <c r="F122" s="246">
        <f>E122*1.06</f>
        <v>88207.65620000001</v>
      </c>
      <c r="G122" s="288"/>
      <c r="H122" s="281"/>
      <c r="I122" s="241"/>
    </row>
    <row r="123" spans="1:9" ht="12.75">
      <c r="A123" s="114" t="s">
        <v>246</v>
      </c>
      <c r="B123" s="119"/>
      <c r="C123" s="119"/>
      <c r="D123" s="119"/>
      <c r="E123" s="200">
        <v>206209</v>
      </c>
      <c r="F123" s="246">
        <f>E123*1.06</f>
        <v>218581.54</v>
      </c>
      <c r="G123" s="288"/>
      <c r="H123" s="281"/>
      <c r="I123" s="241"/>
    </row>
    <row r="124" spans="1:9" ht="12.75">
      <c r="A124" s="115" t="s">
        <v>227</v>
      </c>
      <c r="B124" s="115"/>
      <c r="C124" s="115"/>
      <c r="D124" s="115"/>
      <c r="E124" s="212">
        <f>SUM(E118:E123)</f>
        <v>1056733.8220000002</v>
      </c>
      <c r="F124" s="258">
        <f>SUM(F118:F123)</f>
        <v>1197656.36576</v>
      </c>
      <c r="G124" s="288"/>
      <c r="H124" s="281"/>
      <c r="I124" s="241"/>
    </row>
    <row r="125" spans="1:9" ht="12.75">
      <c r="A125" s="114"/>
      <c r="B125" s="114"/>
      <c r="C125" s="114"/>
      <c r="D125" s="114"/>
      <c r="E125" s="200"/>
      <c r="F125" s="246"/>
      <c r="G125" s="288"/>
      <c r="H125" s="281"/>
      <c r="I125" s="241"/>
    </row>
    <row r="126" spans="1:9" ht="12.75">
      <c r="A126" s="116" t="s">
        <v>157</v>
      </c>
      <c r="B126" s="116"/>
      <c r="C126" s="116"/>
      <c r="D126" s="116"/>
      <c r="E126" s="200"/>
      <c r="F126" s="246"/>
      <c r="G126" s="288"/>
      <c r="H126" s="281"/>
      <c r="I126" s="241"/>
    </row>
    <row r="127" spans="1:9" ht="12.75">
      <c r="A127" s="114" t="s">
        <v>272</v>
      </c>
      <c r="B127" s="114"/>
      <c r="C127" s="114"/>
      <c r="D127" s="114"/>
      <c r="E127" s="200">
        <v>216809.32600000003</v>
      </c>
      <c r="F127" s="246">
        <f>289940*1.06</f>
        <v>307336.4</v>
      </c>
      <c r="G127" s="288"/>
      <c r="H127" s="281"/>
      <c r="I127" s="241"/>
    </row>
    <row r="128" spans="1:9" ht="12.75">
      <c r="A128" s="119" t="s">
        <v>270</v>
      </c>
      <c r="B128" s="119"/>
      <c r="C128" s="119"/>
      <c r="D128" s="119"/>
      <c r="E128" s="200">
        <v>206209</v>
      </c>
      <c r="F128" s="246">
        <f>E128*1.06</f>
        <v>218581.54</v>
      </c>
      <c r="G128" s="288"/>
      <c r="H128" s="281"/>
      <c r="I128" s="241"/>
    </row>
    <row r="129" spans="1:9" ht="12.75">
      <c r="A129" s="119" t="s">
        <v>271</v>
      </c>
      <c r="B129" s="119"/>
      <c r="C129" s="119"/>
      <c r="D129" s="119"/>
      <c r="E129" s="200">
        <v>210809</v>
      </c>
      <c r="F129" s="246">
        <f>E129*1.06</f>
        <v>223457.54</v>
      </c>
      <c r="G129" s="288"/>
      <c r="H129" s="281"/>
      <c r="I129" s="241"/>
    </row>
    <row r="130" spans="1:9" ht="12.75">
      <c r="A130" s="114" t="s">
        <v>256</v>
      </c>
      <c r="B130" s="114"/>
      <c r="C130" s="114"/>
      <c r="D130" s="114"/>
      <c r="E130" s="200">
        <v>133482.72600000002</v>
      </c>
      <c r="F130" s="246">
        <f>E130*1.06</f>
        <v>141491.68956000003</v>
      </c>
      <c r="G130" s="288"/>
      <c r="H130" s="281"/>
      <c r="I130" s="241"/>
    </row>
    <row r="131" spans="1:9" ht="12.75">
      <c r="A131" s="114" t="s">
        <v>267</v>
      </c>
      <c r="B131" s="114"/>
      <c r="C131" s="114"/>
      <c r="D131" s="114"/>
      <c r="E131" s="200">
        <v>83214.77</v>
      </c>
      <c r="F131" s="246">
        <f>E131*1.06</f>
        <v>88207.65620000001</v>
      </c>
      <c r="G131" s="288"/>
      <c r="H131" s="281"/>
      <c r="I131" s="241"/>
    </row>
    <row r="132" spans="1:9" ht="12.75">
      <c r="A132" s="114" t="s">
        <v>246</v>
      </c>
      <c r="B132" s="119"/>
      <c r="C132" s="119"/>
      <c r="D132" s="119"/>
      <c r="E132" s="200">
        <v>206209</v>
      </c>
      <c r="F132" s="246">
        <f>E132*1.06</f>
        <v>218581.54</v>
      </c>
      <c r="G132" s="288"/>
      <c r="H132" s="281"/>
      <c r="I132" s="241"/>
    </row>
    <row r="133" spans="1:9" ht="12.75">
      <c r="A133" s="115" t="s">
        <v>227</v>
      </c>
      <c r="B133" s="115"/>
      <c r="C133" s="115"/>
      <c r="D133" s="115"/>
      <c r="E133" s="212">
        <f>SUM(E127:E132)</f>
        <v>1056733.8220000002</v>
      </c>
      <c r="F133" s="258">
        <f>SUM(F127:F132)</f>
        <v>1197656.36576</v>
      </c>
      <c r="G133" s="288"/>
      <c r="H133" s="281"/>
      <c r="I133" s="241"/>
    </row>
    <row r="134" spans="1:9" ht="12.75">
      <c r="A134" s="116"/>
      <c r="B134" s="116"/>
      <c r="C134" s="116"/>
      <c r="D134" s="116"/>
      <c r="E134" s="213"/>
      <c r="F134" s="259"/>
      <c r="G134" s="288"/>
      <c r="H134" s="281"/>
      <c r="I134" s="241"/>
    </row>
    <row r="135" spans="1:9" ht="12.75">
      <c r="A135" s="116" t="s">
        <v>276</v>
      </c>
      <c r="B135" s="116"/>
      <c r="C135" s="116"/>
      <c r="D135" s="116"/>
      <c r="E135" s="213"/>
      <c r="F135" s="259"/>
      <c r="G135" s="288"/>
      <c r="H135" s="281"/>
      <c r="I135" s="241"/>
    </row>
    <row r="136" spans="1:9" ht="12.75">
      <c r="A136" s="114" t="s">
        <v>272</v>
      </c>
      <c r="B136" s="114"/>
      <c r="C136" s="114"/>
      <c r="D136" s="114"/>
      <c r="E136" s="200">
        <v>216809.32600000003</v>
      </c>
      <c r="F136" s="246">
        <f>289940*1.06</f>
        <v>307336.4</v>
      </c>
      <c r="G136" s="288"/>
      <c r="H136" s="281"/>
      <c r="I136" s="241"/>
    </row>
    <row r="137" spans="1:9" ht="12.75">
      <c r="A137" s="119" t="s">
        <v>270</v>
      </c>
      <c r="B137" s="119"/>
      <c r="C137" s="119"/>
      <c r="D137" s="119"/>
      <c r="E137" s="200">
        <v>206209</v>
      </c>
      <c r="F137" s="246">
        <f aca="true" t="shared" si="2" ref="F137:F142">E137*1.06</f>
        <v>218581.54</v>
      </c>
      <c r="G137" s="288"/>
      <c r="H137" s="281"/>
      <c r="I137" s="241"/>
    </row>
    <row r="138" spans="1:9" ht="12.75">
      <c r="A138" s="119" t="s">
        <v>271</v>
      </c>
      <c r="B138" s="119"/>
      <c r="C138" s="119"/>
      <c r="D138" s="119"/>
      <c r="E138" s="200">
        <v>210809</v>
      </c>
      <c r="F138" s="246">
        <f t="shared" si="2"/>
        <v>223457.54</v>
      </c>
      <c r="G138" s="288"/>
      <c r="H138" s="281"/>
      <c r="I138" s="241"/>
    </row>
    <row r="139" spans="1:9" ht="12.75">
      <c r="A139" s="114" t="s">
        <v>256</v>
      </c>
      <c r="B139" s="114"/>
      <c r="C139" s="114"/>
      <c r="D139" s="114"/>
      <c r="E139" s="200">
        <v>133482.72600000002</v>
      </c>
      <c r="F139" s="246">
        <f t="shared" si="2"/>
        <v>141491.68956000003</v>
      </c>
      <c r="G139" s="288"/>
      <c r="H139" s="281"/>
      <c r="I139" s="241"/>
    </row>
    <row r="140" spans="1:9" ht="12.75">
      <c r="A140" s="119" t="s">
        <v>277</v>
      </c>
      <c r="B140" s="119"/>
      <c r="C140" s="119"/>
      <c r="D140" s="119"/>
      <c r="E140" s="200">
        <v>34980</v>
      </c>
      <c r="F140" s="246">
        <f t="shared" si="2"/>
        <v>37078.8</v>
      </c>
      <c r="G140" s="288"/>
      <c r="H140" s="281"/>
      <c r="I140" s="241"/>
    </row>
    <row r="141" spans="1:9" ht="12.75">
      <c r="A141" s="114" t="s">
        <v>267</v>
      </c>
      <c r="B141" s="114"/>
      <c r="C141" s="114"/>
      <c r="D141" s="114"/>
      <c r="E141" s="200">
        <v>83214.77</v>
      </c>
      <c r="F141" s="246">
        <f t="shared" si="2"/>
        <v>88207.65620000001</v>
      </c>
      <c r="G141" s="288"/>
      <c r="H141" s="281"/>
      <c r="I141" s="241"/>
    </row>
    <row r="142" spans="1:9" ht="12.75">
      <c r="A142" s="114" t="s">
        <v>246</v>
      </c>
      <c r="B142" s="119"/>
      <c r="C142" s="119"/>
      <c r="D142" s="119"/>
      <c r="E142" s="200">
        <v>206209</v>
      </c>
      <c r="F142" s="246">
        <f t="shared" si="2"/>
        <v>218581.54</v>
      </c>
      <c r="G142" s="288"/>
      <c r="H142" s="281"/>
      <c r="I142" s="241"/>
    </row>
    <row r="143" spans="1:9" ht="12.75">
      <c r="A143" s="115" t="s">
        <v>227</v>
      </c>
      <c r="B143" s="115"/>
      <c r="C143" s="115"/>
      <c r="D143" s="115"/>
      <c r="E143" s="212">
        <f>SUM(E136:E142)</f>
        <v>1091713.8220000002</v>
      </c>
      <c r="F143" s="258">
        <f>SUM(F136:F142)</f>
        <v>1234735.16576</v>
      </c>
      <c r="G143" s="288"/>
      <c r="H143" s="281"/>
      <c r="I143" s="241"/>
    </row>
    <row r="144" spans="1:9" ht="12.75">
      <c r="A144" s="116"/>
      <c r="B144" s="116"/>
      <c r="C144" s="116"/>
      <c r="D144" s="116"/>
      <c r="E144" s="213"/>
      <c r="F144" s="259"/>
      <c r="G144" s="288"/>
      <c r="H144" s="281"/>
      <c r="I144" s="241"/>
    </row>
    <row r="145" spans="1:9" ht="12.75">
      <c r="A145" s="116" t="s">
        <v>278</v>
      </c>
      <c r="B145" s="116"/>
      <c r="C145" s="116"/>
      <c r="D145" s="116"/>
      <c r="E145" s="213"/>
      <c r="F145" s="259"/>
      <c r="G145" s="288"/>
      <c r="H145" s="281"/>
      <c r="I145" s="241"/>
    </row>
    <row r="146" spans="1:9" ht="12.75">
      <c r="A146" s="114" t="s">
        <v>272</v>
      </c>
      <c r="B146" s="114"/>
      <c r="C146" s="114"/>
      <c r="D146" s="114"/>
      <c r="E146" s="200">
        <v>216809.32600000003</v>
      </c>
      <c r="F146" s="246">
        <f>289940*1.06</f>
        <v>307336.4</v>
      </c>
      <c r="G146" s="288"/>
      <c r="H146" s="281"/>
      <c r="I146" s="241"/>
    </row>
    <row r="147" spans="1:9" ht="12.75">
      <c r="A147" s="119" t="s">
        <v>270</v>
      </c>
      <c r="B147" s="119"/>
      <c r="C147" s="119"/>
      <c r="D147" s="119"/>
      <c r="E147" s="200">
        <v>206209</v>
      </c>
      <c r="F147" s="246">
        <f>E147*1.06</f>
        <v>218581.54</v>
      </c>
      <c r="G147" s="288"/>
      <c r="H147" s="281"/>
      <c r="I147" s="241"/>
    </row>
    <row r="148" spans="1:9" ht="12.75">
      <c r="A148" s="119" t="s">
        <v>271</v>
      </c>
      <c r="B148" s="119"/>
      <c r="C148" s="119"/>
      <c r="D148" s="119"/>
      <c r="E148" s="200">
        <v>210809</v>
      </c>
      <c r="F148" s="246">
        <f>E148*1.06</f>
        <v>223457.54</v>
      </c>
      <c r="G148" s="288"/>
      <c r="H148" s="281"/>
      <c r="I148" s="241"/>
    </row>
    <row r="149" spans="1:9" ht="12.75">
      <c r="A149" s="114" t="s">
        <v>256</v>
      </c>
      <c r="B149" s="114"/>
      <c r="C149" s="114"/>
      <c r="D149" s="114"/>
      <c r="E149" s="200">
        <v>133482.72600000002</v>
      </c>
      <c r="F149" s="246">
        <f>E149*1.06</f>
        <v>141491.68956000003</v>
      </c>
      <c r="G149" s="288"/>
      <c r="H149" s="281"/>
      <c r="I149" s="241"/>
    </row>
    <row r="150" spans="1:9" ht="12.75">
      <c r="A150" s="114" t="s">
        <v>267</v>
      </c>
      <c r="B150" s="114"/>
      <c r="C150" s="114"/>
      <c r="D150" s="114"/>
      <c r="E150" s="200">
        <v>83214.77</v>
      </c>
      <c r="F150" s="246">
        <f>E150*1.06</f>
        <v>88207.65620000001</v>
      </c>
      <c r="G150" s="288"/>
      <c r="H150" s="281"/>
      <c r="I150" s="241"/>
    </row>
    <row r="151" spans="1:9" ht="12.75">
      <c r="A151" s="114" t="s">
        <v>246</v>
      </c>
      <c r="B151" s="119"/>
      <c r="C151" s="119"/>
      <c r="D151" s="119"/>
      <c r="E151" s="200">
        <v>206209</v>
      </c>
      <c r="F151" s="246">
        <f>E151*1.06</f>
        <v>218581.54</v>
      </c>
      <c r="G151" s="288"/>
      <c r="H151" s="281"/>
      <c r="I151" s="241"/>
    </row>
    <row r="152" spans="1:9" ht="12.75">
      <c r="A152" s="115" t="s">
        <v>227</v>
      </c>
      <c r="B152" s="115"/>
      <c r="C152" s="115"/>
      <c r="D152" s="115"/>
      <c r="E152" s="212">
        <f>SUM(E146:E151)</f>
        <v>1056733.8220000002</v>
      </c>
      <c r="F152" s="258">
        <f>SUM(F146:F151)</f>
        <v>1197656.36576</v>
      </c>
      <c r="G152" s="288"/>
      <c r="H152" s="281"/>
      <c r="I152" s="241"/>
    </row>
    <row r="153" spans="1:9" ht="12.75">
      <c r="A153" s="119"/>
      <c r="B153" s="119"/>
      <c r="C153" s="119"/>
      <c r="D153" s="119"/>
      <c r="E153" s="213"/>
      <c r="F153" s="259"/>
      <c r="G153" s="288"/>
      <c r="H153" s="281"/>
      <c r="I153" s="241"/>
    </row>
    <row r="154" spans="1:9" ht="12.75">
      <c r="A154" s="116" t="s">
        <v>161</v>
      </c>
      <c r="B154" s="116"/>
      <c r="C154" s="116"/>
      <c r="D154" s="116"/>
      <c r="E154" s="213"/>
      <c r="F154" s="259"/>
      <c r="G154" s="288"/>
      <c r="H154" s="281"/>
      <c r="I154" s="241"/>
    </row>
    <row r="155" spans="1:9" ht="12.75">
      <c r="A155" s="114" t="s">
        <v>272</v>
      </c>
      <c r="B155" s="114"/>
      <c r="C155" s="114"/>
      <c r="D155" s="114"/>
      <c r="E155" s="200">
        <v>216809.32600000003</v>
      </c>
      <c r="F155" s="246">
        <f>289940*1.06</f>
        <v>307336.4</v>
      </c>
      <c r="G155" s="288"/>
      <c r="H155" s="281"/>
      <c r="I155" s="241"/>
    </row>
    <row r="156" spans="1:9" ht="12.75">
      <c r="A156" s="119" t="s">
        <v>270</v>
      </c>
      <c r="B156" s="119"/>
      <c r="C156" s="119"/>
      <c r="D156" s="119"/>
      <c r="E156" s="200">
        <v>206209</v>
      </c>
      <c r="F156" s="246">
        <f>E156*1.06</f>
        <v>218581.54</v>
      </c>
      <c r="G156" s="288"/>
      <c r="H156" s="281"/>
      <c r="I156" s="241"/>
    </row>
    <row r="157" spans="1:9" ht="12.75">
      <c r="A157" s="119" t="s">
        <v>271</v>
      </c>
      <c r="B157" s="119"/>
      <c r="C157" s="119"/>
      <c r="D157" s="119"/>
      <c r="E157" s="200">
        <v>210809</v>
      </c>
      <c r="F157" s="246">
        <f>E157*1.06</f>
        <v>223457.54</v>
      </c>
      <c r="G157" s="288"/>
      <c r="H157" s="281"/>
      <c r="I157" s="241"/>
    </row>
    <row r="158" spans="1:9" ht="12.75">
      <c r="A158" s="114" t="s">
        <v>256</v>
      </c>
      <c r="B158" s="114"/>
      <c r="C158" s="114"/>
      <c r="D158" s="114"/>
      <c r="E158" s="200">
        <v>133482.72600000002</v>
      </c>
      <c r="F158" s="246">
        <f>E158*1.06</f>
        <v>141491.68956000003</v>
      </c>
      <c r="G158" s="288"/>
      <c r="H158" s="281"/>
      <c r="I158" s="241"/>
    </row>
    <row r="159" spans="1:9" ht="12.75">
      <c r="A159" s="114" t="s">
        <v>279</v>
      </c>
      <c r="B159" s="114"/>
      <c r="C159" s="114"/>
      <c r="D159" s="114"/>
      <c r="E159" s="200">
        <v>83214.77</v>
      </c>
      <c r="F159" s="246">
        <f>E159*1.06</f>
        <v>88207.65620000001</v>
      </c>
      <c r="G159" s="288"/>
      <c r="H159" s="281"/>
      <c r="I159" s="241"/>
    </row>
    <row r="160" spans="1:9" ht="12.75">
      <c r="A160" s="114" t="s">
        <v>246</v>
      </c>
      <c r="B160" s="119"/>
      <c r="C160" s="119"/>
      <c r="D160" s="119"/>
      <c r="E160" s="200">
        <v>206209</v>
      </c>
      <c r="F160" s="246">
        <f>E160*1.06</f>
        <v>218581.54</v>
      </c>
      <c r="G160" s="288"/>
      <c r="H160" s="281"/>
      <c r="I160" s="241"/>
    </row>
    <row r="161" spans="1:9" ht="12.75">
      <c r="A161" s="115" t="s">
        <v>227</v>
      </c>
      <c r="B161" s="115"/>
      <c r="C161" s="115"/>
      <c r="D161" s="115"/>
      <c r="E161" s="212">
        <f>SUM(E155:E160)</f>
        <v>1056733.8220000002</v>
      </c>
      <c r="F161" s="258">
        <f>SUM(F155:F160)</f>
        <v>1197656.36576</v>
      </c>
      <c r="G161" s="288"/>
      <c r="H161" s="281"/>
      <c r="I161" s="241"/>
    </row>
    <row r="162" spans="1:9" ht="12.75">
      <c r="A162" s="116"/>
      <c r="B162" s="116"/>
      <c r="C162" s="116"/>
      <c r="D162" s="116"/>
      <c r="E162" s="213"/>
      <c r="F162" s="259"/>
      <c r="G162" s="288"/>
      <c r="H162" s="281"/>
      <c r="I162" s="241"/>
    </row>
    <row r="163" spans="1:9" ht="12.75">
      <c r="A163" s="116" t="s">
        <v>280</v>
      </c>
      <c r="B163" s="116"/>
      <c r="C163" s="116"/>
      <c r="D163" s="116"/>
      <c r="E163" s="213"/>
      <c r="F163" s="259"/>
      <c r="G163" s="288"/>
      <c r="H163" s="281"/>
      <c r="I163" s="241"/>
    </row>
    <row r="164" spans="1:9" ht="12.75">
      <c r="A164" s="114" t="s">
        <v>272</v>
      </c>
      <c r="B164" s="114"/>
      <c r="C164" s="114"/>
      <c r="D164" s="114"/>
      <c r="E164" s="200">
        <v>216809.32600000003</v>
      </c>
      <c r="F164" s="246">
        <f>289940*1.06</f>
        <v>307336.4</v>
      </c>
      <c r="G164" s="288"/>
      <c r="H164" s="281"/>
      <c r="I164" s="241"/>
    </row>
    <row r="165" spans="1:9" ht="12.75">
      <c r="A165" s="119" t="s">
        <v>270</v>
      </c>
      <c r="B165" s="119"/>
      <c r="C165" s="119"/>
      <c r="D165" s="119"/>
      <c r="E165" s="200">
        <v>206209</v>
      </c>
      <c r="F165" s="246">
        <f>E165*1.06</f>
        <v>218581.54</v>
      </c>
      <c r="G165" s="288"/>
      <c r="H165" s="281"/>
      <c r="I165" s="241"/>
    </row>
    <row r="166" spans="1:9" ht="12.75">
      <c r="A166" s="119" t="s">
        <v>271</v>
      </c>
      <c r="B166" s="119"/>
      <c r="C166" s="119"/>
      <c r="D166" s="119"/>
      <c r="E166" s="200">
        <v>210809</v>
      </c>
      <c r="F166" s="246">
        <f>E166*1.06</f>
        <v>223457.54</v>
      </c>
      <c r="G166" s="288"/>
      <c r="H166" s="281"/>
      <c r="I166" s="241"/>
    </row>
    <row r="167" spans="1:9" ht="12.75">
      <c r="A167" s="114" t="s">
        <v>256</v>
      </c>
      <c r="B167" s="114"/>
      <c r="C167" s="114"/>
      <c r="D167" s="114"/>
      <c r="E167" s="200">
        <v>133482.72600000002</v>
      </c>
      <c r="F167" s="246">
        <f>E167*1.06</f>
        <v>141491.68956000003</v>
      </c>
      <c r="G167" s="288"/>
      <c r="H167" s="281"/>
      <c r="I167" s="241"/>
    </row>
    <row r="168" spans="1:9" ht="12.75">
      <c r="A168" s="114" t="s">
        <v>267</v>
      </c>
      <c r="B168" s="114"/>
      <c r="C168" s="114"/>
      <c r="D168" s="114"/>
      <c r="E168" s="200">
        <v>83214.77</v>
      </c>
      <c r="F168" s="246">
        <f>E168*1.06</f>
        <v>88207.65620000001</v>
      </c>
      <c r="G168" s="288"/>
      <c r="H168" s="281"/>
      <c r="I168" s="241"/>
    </row>
    <row r="169" spans="1:9" ht="12.75">
      <c r="A169" s="114" t="s">
        <v>246</v>
      </c>
      <c r="B169" s="119"/>
      <c r="C169" s="119"/>
      <c r="D169" s="119"/>
      <c r="E169" s="200">
        <v>206209</v>
      </c>
      <c r="F169" s="246">
        <f>E169*1.06</f>
        <v>218581.54</v>
      </c>
      <c r="G169" s="288"/>
      <c r="H169" s="281"/>
      <c r="I169" s="241"/>
    </row>
    <row r="170" spans="1:9" ht="12.75">
      <c r="A170" s="113" t="s">
        <v>227</v>
      </c>
      <c r="B170" s="113"/>
      <c r="C170" s="113"/>
      <c r="D170" s="113"/>
      <c r="E170" s="214">
        <f>SUM(E164:E169)</f>
        <v>1056733.8220000002</v>
      </c>
      <c r="F170" s="258">
        <f>SUM(F164:F169)</f>
        <v>1197656.36576</v>
      </c>
      <c r="G170" s="288"/>
      <c r="H170" s="281"/>
      <c r="I170" s="241"/>
    </row>
    <row r="171" spans="1:9" ht="12.75">
      <c r="A171" s="103"/>
      <c r="B171" s="103"/>
      <c r="C171" s="103"/>
      <c r="D171" s="103"/>
      <c r="E171" s="215"/>
      <c r="F171" s="259"/>
      <c r="G171" s="288"/>
      <c r="H171" s="281"/>
      <c r="I171" s="241"/>
    </row>
    <row r="172" spans="1:9" ht="13.5" thickBot="1">
      <c r="A172" s="103"/>
      <c r="B172" s="103"/>
      <c r="C172" s="103"/>
      <c r="D172" s="103"/>
      <c r="E172" s="215"/>
      <c r="F172" s="259"/>
      <c r="G172" s="288"/>
      <c r="H172" s="281"/>
      <c r="I172" s="241"/>
    </row>
    <row r="173" spans="1:9" ht="13.5" thickBot="1">
      <c r="A173" s="121" t="s">
        <v>281</v>
      </c>
      <c r="B173" s="122"/>
      <c r="C173" s="122"/>
      <c r="D173" s="122"/>
      <c r="E173" s="216">
        <f>E170+E161+E152+E143+E133+E124+E115+E106+E97+E86+E74+E65+E54+E46+E41+E27</f>
        <v>23299523.248880006</v>
      </c>
      <c r="F173" s="260">
        <f>F170+F161+F152+F143+F133+F124+F115+F106+F97+F86+F74+F65+F54+F46+F41+F27</f>
        <v>26631653.462712802</v>
      </c>
      <c r="G173" s="289">
        <f>7198739.77+86417.4+7172+77079.11+14053.5+2140052.82+4440+20313.77+216664.44+1200355.17+33460+8815+232897.55</f>
        <v>11240460.53</v>
      </c>
      <c r="H173" s="283">
        <f>F173-G173</f>
        <v>15391192.932712803</v>
      </c>
      <c r="I173" s="248">
        <f>G173/F173</f>
        <v>0.4220714476379719</v>
      </c>
    </row>
    <row r="174" spans="1:9" ht="12.75">
      <c r="A174" s="123"/>
      <c r="B174" s="123"/>
      <c r="C174" s="123"/>
      <c r="D174" s="123"/>
      <c r="E174" s="215"/>
      <c r="F174" s="259"/>
      <c r="G174" s="288"/>
      <c r="H174" s="281"/>
      <c r="I174" s="241"/>
    </row>
    <row r="175" spans="1:9" ht="12.75">
      <c r="A175" s="101" t="s">
        <v>282</v>
      </c>
      <c r="B175" s="101"/>
      <c r="C175" s="101"/>
      <c r="D175" s="101"/>
      <c r="E175" s="199">
        <v>184440</v>
      </c>
      <c r="F175" s="246">
        <f>E175*1.06</f>
        <v>195506.40000000002</v>
      </c>
      <c r="G175" s="288">
        <f>46900.56</f>
        <v>46900.56</v>
      </c>
      <c r="H175" s="282">
        <f>F175-G175</f>
        <v>148605.84000000003</v>
      </c>
      <c r="I175" s="243">
        <f>G175/F175</f>
        <v>0.23989270939467963</v>
      </c>
    </row>
    <row r="176" spans="1:9" ht="12.75">
      <c r="A176" s="101"/>
      <c r="B176" s="101"/>
      <c r="C176" s="101"/>
      <c r="D176" s="101"/>
      <c r="E176" s="215"/>
      <c r="F176" s="259"/>
      <c r="G176" s="288"/>
      <c r="H176" s="281"/>
      <c r="I176" s="241"/>
    </row>
    <row r="177" spans="1:9" ht="12.75">
      <c r="A177" s="101" t="s">
        <v>283</v>
      </c>
      <c r="B177" s="101"/>
      <c r="C177" s="101"/>
      <c r="D177" s="101"/>
      <c r="E177" s="199">
        <v>226880.07089400006</v>
      </c>
      <c r="F177" s="246">
        <f>E177*1.06</f>
        <v>240492.87514764006</v>
      </c>
      <c r="G177" s="288"/>
      <c r="H177" s="281"/>
      <c r="I177" s="241"/>
    </row>
    <row r="178" spans="1:9" ht="12.75">
      <c r="A178" s="101"/>
      <c r="B178" s="101"/>
      <c r="C178" s="101"/>
      <c r="D178" s="101"/>
      <c r="E178" s="199"/>
      <c r="F178" s="246"/>
      <c r="G178" s="288"/>
      <c r="H178" s="281"/>
      <c r="I178" s="241"/>
    </row>
    <row r="179" spans="1:9" ht="12.75">
      <c r="A179" s="101" t="s">
        <v>284</v>
      </c>
      <c r="B179" s="101"/>
      <c r="C179" s="101"/>
      <c r="D179" s="101"/>
      <c r="E179" s="199">
        <v>567200.1772350001</v>
      </c>
      <c r="F179" s="246">
        <v>1092498.80619076</v>
      </c>
      <c r="G179" s="288"/>
      <c r="H179" s="281"/>
      <c r="I179" s="241"/>
    </row>
    <row r="180" spans="1:9" ht="13.5" thickBot="1">
      <c r="A180" s="100"/>
      <c r="B180" s="100"/>
      <c r="C180" s="100"/>
      <c r="D180" s="100"/>
      <c r="E180" s="217"/>
      <c r="F180" s="261"/>
      <c r="G180" s="288"/>
      <c r="H180" s="281"/>
      <c r="I180" s="241"/>
    </row>
    <row r="181" spans="1:9" ht="13.5" thickBot="1">
      <c r="A181" s="124" t="s">
        <v>285</v>
      </c>
      <c r="B181" s="125"/>
      <c r="C181" s="125"/>
      <c r="D181" s="125"/>
      <c r="E181" s="216">
        <f>SUM(E173:E179)</f>
        <v>24278043.497009005</v>
      </c>
      <c r="F181" s="260">
        <f>SUM(F173:F179)</f>
        <v>28160151.5440512</v>
      </c>
      <c r="G181" s="289">
        <f>SUM(G173+G175)</f>
        <v>11287361.09</v>
      </c>
      <c r="H181" s="283">
        <f>F181-G181</f>
        <v>16872790.4540512</v>
      </c>
      <c r="I181" s="248">
        <f>G181/F181</f>
        <v>0.40082742709473956</v>
      </c>
    </row>
    <row r="182" spans="1:9" ht="12.75">
      <c r="A182" s="126"/>
      <c r="B182" s="126"/>
      <c r="C182" s="126"/>
      <c r="D182" s="126"/>
      <c r="E182" s="47"/>
      <c r="F182" s="262"/>
      <c r="G182" s="288"/>
      <c r="H182" s="281"/>
      <c r="I182" s="241"/>
    </row>
    <row r="183" spans="1:9" ht="12.75">
      <c r="A183" s="127" t="s">
        <v>286</v>
      </c>
      <c r="B183" s="127"/>
      <c r="C183" s="127"/>
      <c r="D183" s="127"/>
      <c r="E183" s="218"/>
      <c r="F183" s="254"/>
      <c r="G183" s="288"/>
      <c r="H183" s="281"/>
      <c r="I183" s="241"/>
    </row>
    <row r="184" spans="1:9" ht="12.75">
      <c r="A184" s="128"/>
      <c r="B184" s="128"/>
      <c r="C184" s="128"/>
      <c r="D184" s="128"/>
      <c r="E184" s="199"/>
      <c r="F184" s="246"/>
      <c r="G184" s="288"/>
      <c r="H184" s="281"/>
      <c r="I184" s="241"/>
    </row>
    <row r="185" spans="1:9" ht="12.75">
      <c r="A185" s="101" t="s">
        <v>287</v>
      </c>
      <c r="B185" s="101"/>
      <c r="C185" s="101"/>
      <c r="D185" s="101"/>
      <c r="E185" s="199"/>
      <c r="F185" s="246"/>
      <c r="G185" s="288"/>
      <c r="H185" s="281"/>
      <c r="I185" s="241"/>
    </row>
    <row r="186" spans="1:9" ht="12.75">
      <c r="A186" s="102" t="s">
        <v>288</v>
      </c>
      <c r="B186" s="102"/>
      <c r="C186" s="102"/>
      <c r="D186" s="102"/>
      <c r="E186" s="199">
        <v>764844.696</v>
      </c>
      <c r="F186" s="246">
        <f aca="true" t="shared" si="3" ref="F186:F194">E186*1.06</f>
        <v>810735.3777600001</v>
      </c>
      <c r="G186" s="288">
        <f>41919+82342.21+10715.89+46128.11+38722.21</f>
        <v>219827.42</v>
      </c>
      <c r="H186" s="282">
        <f>F186-G186</f>
        <v>590907.95776</v>
      </c>
      <c r="I186" s="243">
        <f>G186/F186</f>
        <v>0.27114571046272384</v>
      </c>
    </row>
    <row r="187" spans="1:9" ht="12.75">
      <c r="A187" s="103" t="s">
        <v>289</v>
      </c>
      <c r="B187" s="103"/>
      <c r="C187" s="103"/>
      <c r="D187" s="103"/>
      <c r="E187" s="199">
        <v>70359.37620000001</v>
      </c>
      <c r="F187" s="246">
        <v>0</v>
      </c>
      <c r="G187" s="288"/>
      <c r="H187" s="281"/>
      <c r="I187" s="241"/>
    </row>
    <row r="188" spans="1:9" ht="12.75">
      <c r="A188" s="103" t="s">
        <v>269</v>
      </c>
      <c r="B188" s="103"/>
      <c r="C188" s="103"/>
      <c r="D188" s="103"/>
      <c r="E188" s="199">
        <v>107738.4</v>
      </c>
      <c r="F188" s="246">
        <f t="shared" si="3"/>
        <v>114202.704</v>
      </c>
      <c r="G188" s="288"/>
      <c r="H188" s="281"/>
      <c r="I188" s="241"/>
    </row>
    <row r="189" spans="1:9" ht="12.75">
      <c r="A189" s="103" t="s">
        <v>155</v>
      </c>
      <c r="B189" s="103"/>
      <c r="C189" s="103"/>
      <c r="D189" s="103"/>
      <c r="E189" s="199">
        <v>182952.7776</v>
      </c>
      <c r="F189" s="246">
        <f t="shared" si="3"/>
        <v>193929.94425600002</v>
      </c>
      <c r="G189" s="288"/>
      <c r="H189" s="281"/>
      <c r="I189" s="241"/>
    </row>
    <row r="190" spans="1:9" ht="12.75">
      <c r="A190" s="102" t="s">
        <v>290</v>
      </c>
      <c r="B190" s="102"/>
      <c r="C190" s="102"/>
      <c r="D190" s="102"/>
      <c r="E190" s="199">
        <v>97944</v>
      </c>
      <c r="F190" s="246">
        <f t="shared" si="3"/>
        <v>103820.64</v>
      </c>
      <c r="G190" s="288">
        <f>26403.48+25700.68+4370.84</f>
        <v>56475</v>
      </c>
      <c r="H190" s="282">
        <f aca="true" t="shared" si="4" ref="H190:H196">F190-G190</f>
        <v>47345.64</v>
      </c>
      <c r="I190" s="243">
        <f>G190/F190</f>
        <v>0.5439669799762359</v>
      </c>
    </row>
    <row r="191" spans="1:9" ht="12.75">
      <c r="A191" s="102" t="s">
        <v>291</v>
      </c>
      <c r="B191" s="102"/>
      <c r="C191" s="102"/>
      <c r="D191" s="102"/>
      <c r="E191" s="199">
        <v>95400</v>
      </c>
      <c r="F191" s="246">
        <f t="shared" si="3"/>
        <v>101124</v>
      </c>
      <c r="G191" s="288">
        <f>7962.8</f>
        <v>7962.8</v>
      </c>
      <c r="H191" s="282">
        <f t="shared" si="4"/>
        <v>93161.2</v>
      </c>
      <c r="I191" s="243">
        <f aca="true" t="shared" si="5" ref="I191:I196">G191/F191</f>
        <v>0.07874292947272656</v>
      </c>
    </row>
    <row r="192" spans="1:9" ht="12.75">
      <c r="A192" s="103" t="s">
        <v>157</v>
      </c>
      <c r="B192" s="103"/>
      <c r="C192" s="103"/>
      <c r="D192" s="103"/>
      <c r="E192" s="199">
        <v>95400</v>
      </c>
      <c r="F192" s="246">
        <f t="shared" si="3"/>
        <v>101124</v>
      </c>
      <c r="G192" s="288">
        <f>188816.3</f>
        <v>188816.3</v>
      </c>
      <c r="H192" s="282">
        <f t="shared" si="4"/>
        <v>-87692.29999999999</v>
      </c>
      <c r="I192" s="243">
        <f t="shared" si="5"/>
        <v>1.8671759424073413</v>
      </c>
    </row>
    <row r="193" spans="1:9" ht="12.75">
      <c r="A193" s="103" t="s">
        <v>276</v>
      </c>
      <c r="B193" s="103"/>
      <c r="C193" s="103"/>
      <c r="D193" s="103"/>
      <c r="E193" s="199">
        <v>95400</v>
      </c>
      <c r="F193" s="246">
        <f t="shared" si="3"/>
        <v>101124</v>
      </c>
      <c r="G193" s="288">
        <f>17538.73</f>
        <v>17538.73</v>
      </c>
      <c r="H193" s="282">
        <f t="shared" si="4"/>
        <v>83585.27</v>
      </c>
      <c r="I193" s="243">
        <f t="shared" si="5"/>
        <v>0.17343785847078833</v>
      </c>
    </row>
    <row r="194" spans="1:9" ht="12.75">
      <c r="A194" s="119" t="s">
        <v>159</v>
      </c>
      <c r="B194" s="119"/>
      <c r="C194" s="119"/>
      <c r="D194" s="119"/>
      <c r="E194" s="200">
        <v>95400</v>
      </c>
      <c r="F194" s="246">
        <f t="shared" si="3"/>
        <v>101124</v>
      </c>
      <c r="G194" s="288"/>
      <c r="H194" s="282"/>
      <c r="I194" s="243">
        <f t="shared" si="5"/>
        <v>0</v>
      </c>
    </row>
    <row r="195" spans="1:9" ht="12.75">
      <c r="A195" s="119"/>
      <c r="B195" s="119"/>
      <c r="C195" s="119"/>
      <c r="D195" s="119"/>
      <c r="E195" s="200"/>
      <c r="F195" s="246"/>
      <c r="G195" s="288"/>
      <c r="H195" s="282"/>
      <c r="I195" s="243"/>
    </row>
    <row r="196" spans="1:9" ht="13.5" thickBot="1">
      <c r="A196" s="105" t="s">
        <v>227</v>
      </c>
      <c r="B196" s="105"/>
      <c r="C196" s="105"/>
      <c r="D196" s="105"/>
      <c r="E196" s="214">
        <v>1805439.2498</v>
      </c>
      <c r="F196" s="258">
        <f>SUM(F186:F195)</f>
        <v>1627184.666016</v>
      </c>
      <c r="G196" s="289">
        <f>G186+G190+G191+G192+G193</f>
        <v>490620.25</v>
      </c>
      <c r="H196" s="283">
        <f t="shared" si="4"/>
        <v>1136564.416016</v>
      </c>
      <c r="I196" s="248">
        <f t="shared" si="5"/>
        <v>0.301514794384853</v>
      </c>
    </row>
    <row r="197" spans="1:9" ht="13.5" thickTop="1">
      <c r="A197" s="103"/>
      <c r="B197" s="103"/>
      <c r="C197" s="103"/>
      <c r="D197" s="103"/>
      <c r="E197" s="206"/>
      <c r="F197" s="257"/>
      <c r="G197" s="288"/>
      <c r="H197" s="281"/>
      <c r="I197" s="241"/>
    </row>
    <row r="198" spans="1:9" ht="12.75">
      <c r="A198" s="101" t="s">
        <v>292</v>
      </c>
      <c r="B198" s="101"/>
      <c r="C198" s="101"/>
      <c r="D198" s="101"/>
      <c r="E198" s="199"/>
      <c r="F198" s="246"/>
      <c r="G198" s="288"/>
      <c r="H198" s="281"/>
      <c r="I198" s="241"/>
    </row>
    <row r="199" spans="1:9" ht="12.75">
      <c r="A199" s="100" t="s">
        <v>293</v>
      </c>
      <c r="B199" s="100"/>
      <c r="C199" s="100"/>
      <c r="D199" s="100"/>
      <c r="E199" s="199">
        <v>450000</v>
      </c>
      <c r="F199" s="246">
        <f aca="true" t="shared" si="6" ref="F199:F205">E199*1.06</f>
        <v>477000</v>
      </c>
      <c r="G199" s="288">
        <f>309146.78</f>
        <v>309146.78</v>
      </c>
      <c r="H199" s="282">
        <f>F199-G199</f>
        <v>167853.21999999997</v>
      </c>
      <c r="I199" s="243">
        <f>G199/F199</f>
        <v>0.6481064570230608</v>
      </c>
    </row>
    <row r="200" spans="1:9" ht="12.75">
      <c r="A200" s="103" t="s">
        <v>294</v>
      </c>
      <c r="B200" s="103"/>
      <c r="C200" s="103"/>
      <c r="D200" s="103"/>
      <c r="E200" s="199">
        <v>445200</v>
      </c>
      <c r="F200" s="246">
        <f t="shared" si="6"/>
        <v>471912</v>
      </c>
      <c r="G200" s="288">
        <f>721342.49</f>
        <v>721342.49</v>
      </c>
      <c r="H200" s="282">
        <f>F200-G200</f>
        <v>-249430.49</v>
      </c>
      <c r="I200" s="243">
        <f>G200/F200</f>
        <v>1.528552971740494</v>
      </c>
    </row>
    <row r="201" spans="1:9" ht="12.75">
      <c r="A201" s="103" t="s">
        <v>295</v>
      </c>
      <c r="B201" s="103"/>
      <c r="C201" s="103"/>
      <c r="D201" s="103"/>
      <c r="E201" s="199">
        <v>83952</v>
      </c>
      <c r="F201" s="246">
        <v>50000</v>
      </c>
      <c r="G201" s="288"/>
      <c r="H201" s="281"/>
      <c r="I201" s="241"/>
    </row>
    <row r="202" spans="1:9" ht="12.75">
      <c r="A202" s="103" t="s">
        <v>296</v>
      </c>
      <c r="B202" s="103"/>
      <c r="C202" s="103"/>
      <c r="D202" s="103"/>
      <c r="E202" s="199">
        <v>60000</v>
      </c>
      <c r="F202" s="246">
        <v>50000</v>
      </c>
      <c r="G202" s="288"/>
      <c r="H202" s="281"/>
      <c r="I202" s="241"/>
    </row>
    <row r="203" spans="1:9" ht="12.75">
      <c r="A203" s="100" t="s">
        <v>297</v>
      </c>
      <c r="B203" s="100"/>
      <c r="C203" s="100"/>
      <c r="D203" s="100"/>
      <c r="E203" s="199">
        <v>44149.89888</v>
      </c>
      <c r="F203" s="246">
        <f t="shared" si="6"/>
        <v>46798.892812800004</v>
      </c>
      <c r="G203" s="288">
        <f>34117.21</f>
        <v>34117.21</v>
      </c>
      <c r="H203" s="282">
        <f>F203-G203</f>
        <v>12681.682812800005</v>
      </c>
      <c r="I203" s="243">
        <f>G203/F203</f>
        <v>0.7290174606581413</v>
      </c>
    </row>
    <row r="204" spans="1:9" ht="12.75">
      <c r="A204" s="102" t="s">
        <v>298</v>
      </c>
      <c r="B204" s="102"/>
      <c r="C204" s="102"/>
      <c r="D204" s="102"/>
      <c r="E204" s="199">
        <v>40000</v>
      </c>
      <c r="F204" s="246">
        <f t="shared" si="6"/>
        <v>42400</v>
      </c>
      <c r="G204" s="288">
        <f>79606.81</f>
        <v>79606.81</v>
      </c>
      <c r="H204" s="282">
        <f>F204-G204</f>
        <v>-37206.81</v>
      </c>
      <c r="I204" s="243">
        <f>G204/F204</f>
        <v>1.8775191037735848</v>
      </c>
    </row>
    <row r="205" spans="1:9" ht="12.75">
      <c r="A205" s="100" t="s">
        <v>299</v>
      </c>
      <c r="B205" s="100"/>
      <c r="C205" s="100"/>
      <c r="D205" s="100"/>
      <c r="E205" s="199">
        <v>50930.88</v>
      </c>
      <c r="F205" s="246">
        <f t="shared" si="6"/>
        <v>53986.7328</v>
      </c>
      <c r="G205" s="288"/>
      <c r="H205" s="282"/>
      <c r="I205" s="243"/>
    </row>
    <row r="206" spans="1:9" ht="13.5" thickBot="1">
      <c r="A206" s="129" t="s">
        <v>227</v>
      </c>
      <c r="B206" s="129"/>
      <c r="C206" s="129"/>
      <c r="D206" s="129"/>
      <c r="E206" s="214">
        <v>1174232.77888</v>
      </c>
      <c r="F206" s="258">
        <f>SUM(F199:F205)</f>
        <v>1192097.6256128</v>
      </c>
      <c r="G206" s="289">
        <f>SUM(G199:G205)</f>
        <v>1144213.29</v>
      </c>
      <c r="H206" s="283">
        <f>F206-G206</f>
        <v>47884.33561279997</v>
      </c>
      <c r="I206" s="248">
        <f>G206/F206</f>
        <v>0.9598318673034979</v>
      </c>
    </row>
    <row r="207" spans="1:9" ht="13.5" thickTop="1">
      <c r="A207" s="130"/>
      <c r="B207" s="130"/>
      <c r="C207" s="130"/>
      <c r="D207" s="130"/>
      <c r="E207" s="206"/>
      <c r="F207" s="257"/>
      <c r="G207" s="288"/>
      <c r="H207" s="281"/>
      <c r="I207" s="241"/>
    </row>
    <row r="208" spans="1:9" ht="12.75">
      <c r="A208" s="101" t="s">
        <v>300</v>
      </c>
      <c r="B208" s="101"/>
      <c r="C208" s="101"/>
      <c r="D208" s="101"/>
      <c r="E208" s="199"/>
      <c r="F208" s="246"/>
      <c r="G208" s="288"/>
      <c r="H208" s="281"/>
      <c r="I208" s="241"/>
    </row>
    <row r="209" spans="1:9" ht="12.75">
      <c r="A209" s="102" t="s">
        <v>301</v>
      </c>
      <c r="B209" s="102"/>
      <c r="C209" s="102"/>
      <c r="D209" s="102"/>
      <c r="E209" s="199">
        <v>38072.651760000015</v>
      </c>
      <c r="F209" s="246">
        <f>E209*1.06</f>
        <v>40357.010865600016</v>
      </c>
      <c r="G209" s="288">
        <v>101006</v>
      </c>
      <c r="H209" s="282">
        <f>F209-G209</f>
        <v>-60648.989134399984</v>
      </c>
      <c r="I209" s="243">
        <f>G209/F209</f>
        <v>2.502811725486257</v>
      </c>
    </row>
    <row r="210" spans="1:9" ht="12.75">
      <c r="A210" s="103" t="s">
        <v>302</v>
      </c>
      <c r="B210" s="103"/>
      <c r="C210" s="103"/>
      <c r="D210" s="103"/>
      <c r="E210" s="199">
        <v>60000</v>
      </c>
      <c r="F210" s="246">
        <f>E210*1.06</f>
        <v>63600</v>
      </c>
      <c r="G210" s="288"/>
      <c r="H210" s="281"/>
      <c r="I210" s="241"/>
    </row>
    <row r="211" spans="1:9" ht="13.5" thickBot="1">
      <c r="A211" s="113" t="s">
        <v>227</v>
      </c>
      <c r="B211" s="113"/>
      <c r="C211" s="113"/>
      <c r="D211" s="113"/>
      <c r="E211" s="214">
        <v>98072.65176000001</v>
      </c>
      <c r="F211" s="258">
        <f>SUM(F209:F210)</f>
        <v>103957.01086560002</v>
      </c>
      <c r="G211" s="289">
        <f>336687.85</f>
        <v>336687.85</v>
      </c>
      <c r="H211" s="283">
        <f>F211-G211</f>
        <v>-232730.83913439995</v>
      </c>
      <c r="I211" s="248">
        <f>G211/F211</f>
        <v>3.238721921653597</v>
      </c>
    </row>
    <row r="212" spans="1:9" ht="13.5" thickTop="1">
      <c r="A212" s="130"/>
      <c r="B212" s="130"/>
      <c r="C212" s="130"/>
      <c r="D212" s="130"/>
      <c r="E212" s="206"/>
      <c r="F212" s="257"/>
      <c r="G212" s="288"/>
      <c r="H212" s="281"/>
      <c r="I212" s="241"/>
    </row>
    <row r="213" spans="1:9" ht="12.75">
      <c r="A213" s="101" t="s">
        <v>303</v>
      </c>
      <c r="B213" s="101"/>
      <c r="C213" s="101"/>
      <c r="D213" s="101"/>
      <c r="E213" s="199"/>
      <c r="F213" s="246"/>
      <c r="G213" s="288"/>
      <c r="H213" s="281"/>
      <c r="I213" s="241"/>
    </row>
    <row r="214" spans="1:9" ht="12.75">
      <c r="A214" s="100" t="s">
        <v>304</v>
      </c>
      <c r="B214" s="100"/>
      <c r="C214" s="100"/>
      <c r="D214" s="100"/>
      <c r="E214" s="199">
        <v>300000</v>
      </c>
      <c r="F214" s="246">
        <v>100000</v>
      </c>
      <c r="G214" s="288"/>
      <c r="H214" s="281"/>
      <c r="I214" s="241"/>
    </row>
    <row r="215" spans="1:9" ht="12.75">
      <c r="A215" s="102" t="s">
        <v>305</v>
      </c>
      <c r="B215" s="102"/>
      <c r="C215" s="102"/>
      <c r="D215" s="102"/>
      <c r="E215" s="199">
        <v>150000</v>
      </c>
      <c r="F215" s="246">
        <v>120000</v>
      </c>
      <c r="G215" s="288"/>
      <c r="H215" s="281"/>
      <c r="I215" s="241"/>
    </row>
    <row r="216" spans="1:9" ht="13.5" thickBot="1">
      <c r="A216" s="113" t="s">
        <v>227</v>
      </c>
      <c r="B216" s="113"/>
      <c r="C216" s="113"/>
      <c r="D216" s="113"/>
      <c r="E216" s="214">
        <v>450000</v>
      </c>
      <c r="F216" s="258">
        <f>SUM(F214:F215)</f>
        <v>220000</v>
      </c>
      <c r="G216" s="289">
        <f>2250.9+14595.11+11528.68</f>
        <v>28374.690000000002</v>
      </c>
      <c r="H216" s="283">
        <f>F216-G216</f>
        <v>191625.31</v>
      </c>
      <c r="I216" s="248">
        <f>G216/F216</f>
        <v>0.12897586363636365</v>
      </c>
    </row>
    <row r="217" spans="1:9" ht="13.5" thickTop="1">
      <c r="A217" s="130"/>
      <c r="B217" s="130"/>
      <c r="C217" s="130"/>
      <c r="D217" s="130"/>
      <c r="E217" s="206"/>
      <c r="F217" s="257"/>
      <c r="G217" s="288"/>
      <c r="H217" s="281"/>
      <c r="I217" s="241"/>
    </row>
    <row r="218" spans="1:9" ht="12.75">
      <c r="A218" s="101" t="s">
        <v>306</v>
      </c>
      <c r="B218" s="101"/>
      <c r="C218" s="101"/>
      <c r="D218" s="101"/>
      <c r="E218" s="199"/>
      <c r="F218" s="246"/>
      <c r="G218" s="288"/>
      <c r="H218" s="281"/>
      <c r="I218" s="241"/>
    </row>
    <row r="219" spans="1:9" ht="12.75">
      <c r="A219" s="100" t="s">
        <v>307</v>
      </c>
      <c r="B219" s="100"/>
      <c r="C219" s="100"/>
      <c r="D219" s="100"/>
      <c r="E219" s="199">
        <v>68688</v>
      </c>
      <c r="F219" s="246">
        <f>E219*1.06</f>
        <v>72809.28</v>
      </c>
      <c r="G219" s="288">
        <f>99889.91</f>
        <v>99889.91</v>
      </c>
      <c r="H219" s="282">
        <f aca="true" t="shared" si="7" ref="H219:H225">F219-G219</f>
        <v>-27080.630000000005</v>
      </c>
      <c r="I219" s="243">
        <f aca="true" t="shared" si="8" ref="I219:I225">G219/F219</f>
        <v>1.3719392637861547</v>
      </c>
    </row>
    <row r="220" spans="1:9" ht="12.75">
      <c r="A220" s="100" t="s">
        <v>308</v>
      </c>
      <c r="B220" s="100"/>
      <c r="C220" s="100"/>
      <c r="D220" s="100"/>
      <c r="E220" s="199">
        <v>53424</v>
      </c>
      <c r="F220" s="246">
        <f>E220*1.06</f>
        <v>56629.44</v>
      </c>
      <c r="G220" s="288">
        <f>233076.47</f>
        <v>233076.47</v>
      </c>
      <c r="H220" s="282">
        <f t="shared" si="7"/>
        <v>-176447.03</v>
      </c>
      <c r="I220" s="243">
        <f t="shared" si="8"/>
        <v>4.115818026807258</v>
      </c>
    </row>
    <row r="221" spans="1:9" ht="12.75">
      <c r="A221" s="100" t="s">
        <v>309</v>
      </c>
      <c r="B221" s="100"/>
      <c r="C221" s="100"/>
      <c r="D221" s="100"/>
      <c r="E221" s="199">
        <v>199386</v>
      </c>
      <c r="F221" s="246">
        <v>150000</v>
      </c>
      <c r="G221" s="288">
        <f>24113.28</f>
        <v>24113.28</v>
      </c>
      <c r="H221" s="282">
        <f t="shared" si="7"/>
        <v>125886.72</v>
      </c>
      <c r="I221" s="243">
        <f t="shared" si="8"/>
        <v>0.1607552</v>
      </c>
    </row>
    <row r="222" spans="1:9" ht="12.75">
      <c r="A222" s="100" t="s">
        <v>310</v>
      </c>
      <c r="B222" s="100"/>
      <c r="C222" s="100"/>
      <c r="D222" s="100"/>
      <c r="E222" s="199">
        <v>35743.2</v>
      </c>
      <c r="F222" s="246">
        <f>E222*1.06</f>
        <v>37887.792</v>
      </c>
      <c r="G222" s="288">
        <f>47906.94</f>
        <v>47906.94</v>
      </c>
      <c r="H222" s="282">
        <f t="shared" si="7"/>
        <v>-10019.148000000001</v>
      </c>
      <c r="I222" s="243">
        <f t="shared" si="8"/>
        <v>1.264442646855747</v>
      </c>
    </row>
    <row r="223" spans="1:9" ht="12.75">
      <c r="A223" s="100" t="s">
        <v>311</v>
      </c>
      <c r="B223" s="100"/>
      <c r="C223" s="100"/>
      <c r="D223" s="100"/>
      <c r="E223" s="199">
        <v>18952.8</v>
      </c>
      <c r="F223" s="246">
        <v>15000</v>
      </c>
      <c r="G223" s="288">
        <v>10802.16</v>
      </c>
      <c r="H223" s="282">
        <f t="shared" si="7"/>
        <v>4197.84</v>
      </c>
      <c r="I223" s="243">
        <f t="shared" si="8"/>
        <v>0.720144</v>
      </c>
    </row>
    <row r="224" spans="1:9" ht="12.75">
      <c r="A224" s="100" t="s">
        <v>312</v>
      </c>
      <c r="B224" s="100"/>
      <c r="C224" s="100"/>
      <c r="D224" s="100"/>
      <c r="E224" s="199">
        <v>50000</v>
      </c>
      <c r="F224" s="246">
        <v>40000</v>
      </c>
      <c r="G224" s="288">
        <v>25205.03</v>
      </c>
      <c r="H224" s="282">
        <f t="shared" si="7"/>
        <v>14794.970000000001</v>
      </c>
      <c r="I224" s="243">
        <f t="shared" si="8"/>
        <v>0.6301257499999999</v>
      </c>
    </row>
    <row r="225" spans="1:9" ht="13.5" thickBot="1">
      <c r="A225" s="113" t="s">
        <v>227</v>
      </c>
      <c r="B225" s="113"/>
      <c r="C225" s="113"/>
      <c r="D225" s="113"/>
      <c r="E225" s="214">
        <v>426194</v>
      </c>
      <c r="F225" s="258">
        <f>SUM(F219:F224)</f>
        <v>372326.512</v>
      </c>
      <c r="G225" s="289">
        <f>SUM(G219:G224)</f>
        <v>440993.79000000004</v>
      </c>
      <c r="H225" s="283">
        <f t="shared" si="7"/>
        <v>-68667.27800000005</v>
      </c>
      <c r="I225" s="248">
        <f t="shared" si="8"/>
        <v>1.1844275811334113</v>
      </c>
    </row>
    <row r="226" spans="1:9" ht="13.5" thickTop="1">
      <c r="A226" s="100"/>
      <c r="B226" s="100"/>
      <c r="C226" s="100"/>
      <c r="D226" s="100"/>
      <c r="E226" s="206"/>
      <c r="F226" s="257"/>
      <c r="G226" s="288"/>
      <c r="H226" s="281"/>
      <c r="I226" s="241"/>
    </row>
    <row r="227" spans="1:9" ht="12.75">
      <c r="A227" s="131" t="s">
        <v>313</v>
      </c>
      <c r="B227" s="131"/>
      <c r="C227" s="131"/>
      <c r="D227" s="131"/>
      <c r="E227" s="199"/>
      <c r="F227" s="246"/>
      <c r="G227" s="288"/>
      <c r="H227" s="281"/>
      <c r="I227" s="241"/>
    </row>
    <row r="228" spans="1:9" ht="12.75">
      <c r="A228" s="100" t="s">
        <v>2</v>
      </c>
      <c r="B228" s="100"/>
      <c r="C228" s="100"/>
      <c r="D228" s="100"/>
      <c r="E228" s="199">
        <v>209880</v>
      </c>
      <c r="F228" s="246">
        <f aca="true" t="shared" si="9" ref="F228:F234">E228*1.06</f>
        <v>222472.80000000002</v>
      </c>
      <c r="G228" s="288">
        <f>149997.02</f>
        <v>149997.02</v>
      </c>
      <c r="H228" s="282">
        <f>F228-G228</f>
        <v>72475.78000000003</v>
      </c>
      <c r="I228" s="243">
        <f>G228/F228</f>
        <v>0.6742263323875997</v>
      </c>
    </row>
    <row r="229" spans="1:9" ht="12.75">
      <c r="A229" s="100" t="s">
        <v>314</v>
      </c>
      <c r="B229" s="100"/>
      <c r="C229" s="100"/>
      <c r="D229" s="100"/>
      <c r="E229" s="199">
        <v>174900</v>
      </c>
      <c r="F229" s="246">
        <f t="shared" si="9"/>
        <v>185394</v>
      </c>
      <c r="G229" s="288"/>
      <c r="H229" s="282"/>
      <c r="I229" s="241"/>
    </row>
    <row r="230" spans="1:9" ht="12.75">
      <c r="A230" s="100" t="s">
        <v>315</v>
      </c>
      <c r="B230" s="100"/>
      <c r="C230" s="100"/>
      <c r="D230" s="100"/>
      <c r="E230" s="199">
        <v>38713.32</v>
      </c>
      <c r="F230" s="246">
        <f t="shared" si="9"/>
        <v>41036.1192</v>
      </c>
      <c r="G230" s="288"/>
      <c r="H230" s="282"/>
      <c r="I230" s="241"/>
    </row>
    <row r="231" spans="1:9" ht="12.75">
      <c r="A231" s="100" t="s">
        <v>3</v>
      </c>
      <c r="B231" s="100"/>
      <c r="C231" s="100"/>
      <c r="D231" s="100"/>
      <c r="E231" s="199">
        <v>88404</v>
      </c>
      <c r="F231" s="246">
        <f t="shared" si="9"/>
        <v>93708.24</v>
      </c>
      <c r="G231" s="288">
        <f>211104.07</f>
        <v>211104.07</v>
      </c>
      <c r="H231" s="282">
        <f>F231-G231</f>
        <v>-117395.83</v>
      </c>
      <c r="I231" s="243">
        <f>G231/F231</f>
        <v>2.252780225090131</v>
      </c>
    </row>
    <row r="232" spans="1:9" ht="12.75">
      <c r="A232" s="100" t="s">
        <v>316</v>
      </c>
      <c r="B232" s="100"/>
      <c r="C232" s="100"/>
      <c r="D232" s="100"/>
      <c r="E232" s="199">
        <v>59784</v>
      </c>
      <c r="F232" s="246">
        <f t="shared" si="9"/>
        <v>63371.04</v>
      </c>
      <c r="G232" s="288">
        <v>44611.46</v>
      </c>
      <c r="H232" s="282">
        <f>F232-G232</f>
        <v>18759.58</v>
      </c>
      <c r="I232" s="243">
        <f>G232/F232</f>
        <v>0.7039723507772635</v>
      </c>
    </row>
    <row r="233" spans="1:9" ht="12.75">
      <c r="A233" s="100" t="s">
        <v>5</v>
      </c>
      <c r="B233" s="100"/>
      <c r="C233" s="100"/>
      <c r="D233" s="100"/>
      <c r="E233" s="199">
        <v>19588.8</v>
      </c>
      <c r="F233" s="246">
        <f t="shared" si="9"/>
        <v>20764.128</v>
      </c>
      <c r="G233" s="288">
        <f>79605.25</f>
        <v>79605.25</v>
      </c>
      <c r="H233" s="282">
        <f>F233-G233</f>
        <v>-58841.122</v>
      </c>
      <c r="I233" s="243">
        <f>G233/F233</f>
        <v>3.833787289309717</v>
      </c>
    </row>
    <row r="234" spans="1:9" ht="12.75">
      <c r="A234" s="100" t="s">
        <v>317</v>
      </c>
      <c r="B234" s="100"/>
      <c r="C234" s="100"/>
      <c r="D234" s="100"/>
      <c r="E234" s="199">
        <v>53424</v>
      </c>
      <c r="F234" s="246">
        <f t="shared" si="9"/>
        <v>56629.44</v>
      </c>
      <c r="G234" s="288"/>
      <c r="H234" s="282"/>
      <c r="I234" s="241"/>
    </row>
    <row r="235" spans="1:9" ht="13.5" thickBot="1">
      <c r="A235" s="113" t="s">
        <v>227</v>
      </c>
      <c r="B235" s="113"/>
      <c r="C235" s="113"/>
      <c r="D235" s="113"/>
      <c r="E235" s="214">
        <v>644694.12</v>
      </c>
      <c r="F235" s="258">
        <f>SUM(F228:F234)</f>
        <v>683375.7672000001</v>
      </c>
      <c r="G235" s="289">
        <f>SUM(G228:G234)</f>
        <v>485317.8</v>
      </c>
      <c r="H235" s="283">
        <f>SUM(H228+H231+H232+H233)</f>
        <v>-85001.59199999998</v>
      </c>
      <c r="I235" s="248">
        <f>G235/F235</f>
        <v>0.7101770699135203</v>
      </c>
    </row>
    <row r="236" spans="1:9" ht="13.5" thickTop="1">
      <c r="A236" s="130"/>
      <c r="B236" s="130"/>
      <c r="C236" s="130"/>
      <c r="D236" s="130"/>
      <c r="E236" s="206"/>
      <c r="F236" s="257"/>
      <c r="G236" s="288"/>
      <c r="H236" s="281"/>
      <c r="I236" s="241"/>
    </row>
    <row r="237" spans="1:9" ht="12.75">
      <c r="A237" s="132" t="s">
        <v>318</v>
      </c>
      <c r="B237" s="131"/>
      <c r="C237" s="131"/>
      <c r="D237" s="131"/>
      <c r="E237" s="199"/>
      <c r="F237" s="246"/>
      <c r="G237" s="288"/>
      <c r="H237" s="281"/>
      <c r="I237" s="241"/>
    </row>
    <row r="238" spans="1:9" ht="12.75">
      <c r="A238" s="106" t="s">
        <v>319</v>
      </c>
      <c r="B238" s="106"/>
      <c r="C238" s="106"/>
      <c r="D238" s="106"/>
      <c r="E238" s="199"/>
      <c r="F238" s="246"/>
      <c r="G238" s="288"/>
      <c r="H238" s="281"/>
      <c r="I238" s="241"/>
    </row>
    <row r="239" spans="1:9" ht="12.75">
      <c r="A239" s="102" t="s">
        <v>320</v>
      </c>
      <c r="B239" s="102"/>
      <c r="C239" s="102"/>
      <c r="D239" s="102"/>
      <c r="E239" s="199">
        <v>49727.56800000001</v>
      </c>
      <c r="F239" s="246">
        <f aca="true" t="shared" si="10" ref="F239:F244">E239*1.06</f>
        <v>52711.22208000001</v>
      </c>
      <c r="G239" s="288"/>
      <c r="H239" s="281"/>
      <c r="I239" s="241"/>
    </row>
    <row r="240" spans="1:9" ht="12.75">
      <c r="A240" s="102" t="s">
        <v>321</v>
      </c>
      <c r="B240" s="102"/>
      <c r="C240" s="102"/>
      <c r="D240" s="102"/>
      <c r="E240" s="199">
        <v>741.576</v>
      </c>
      <c r="F240" s="246">
        <f t="shared" si="10"/>
        <v>786.0705600000001</v>
      </c>
      <c r="G240" s="288"/>
      <c r="H240" s="281"/>
      <c r="I240" s="241"/>
    </row>
    <row r="241" spans="1:9" ht="12.75">
      <c r="A241" s="102" t="s">
        <v>322</v>
      </c>
      <c r="B241" s="102"/>
      <c r="C241" s="102"/>
      <c r="D241" s="102"/>
      <c r="E241" s="199">
        <v>7749.024</v>
      </c>
      <c r="F241" s="246">
        <f t="shared" si="10"/>
        <v>8213.96544</v>
      </c>
      <c r="G241" s="288"/>
      <c r="H241" s="281"/>
      <c r="I241" s="241"/>
    </row>
    <row r="242" spans="1:9" ht="12.75">
      <c r="A242" s="102" t="s">
        <v>323</v>
      </c>
      <c r="B242" s="102"/>
      <c r="C242" s="102"/>
      <c r="D242" s="102"/>
      <c r="E242" s="199">
        <v>94795.8</v>
      </c>
      <c r="F242" s="246">
        <f t="shared" si="10"/>
        <v>100483.54800000001</v>
      </c>
      <c r="G242" s="288"/>
      <c r="H242" s="281"/>
      <c r="I242" s="241"/>
    </row>
    <row r="243" spans="1:9" ht="12.75">
      <c r="A243" s="102" t="s">
        <v>324</v>
      </c>
      <c r="B243" s="102"/>
      <c r="C243" s="102"/>
      <c r="D243" s="102"/>
      <c r="E243" s="199">
        <v>741.576</v>
      </c>
      <c r="F243" s="246">
        <f t="shared" si="10"/>
        <v>786.0705600000001</v>
      </c>
      <c r="G243" s="288"/>
      <c r="H243" s="281"/>
      <c r="I243" s="241"/>
    </row>
    <row r="244" spans="1:9" ht="12.75">
      <c r="A244" s="102" t="s">
        <v>322</v>
      </c>
      <c r="B244" s="102"/>
      <c r="C244" s="102"/>
      <c r="D244" s="102"/>
      <c r="E244" s="199">
        <v>7749.024</v>
      </c>
      <c r="F244" s="246">
        <f t="shared" si="10"/>
        <v>8213.96544</v>
      </c>
      <c r="G244" s="288"/>
      <c r="H244" s="281"/>
      <c r="I244" s="241"/>
    </row>
    <row r="245" spans="1:9" ht="12.75">
      <c r="A245" s="100"/>
      <c r="B245" s="100"/>
      <c r="C245" s="100"/>
      <c r="D245" s="100"/>
      <c r="E245" s="199"/>
      <c r="F245" s="246"/>
      <c r="G245" s="288"/>
      <c r="H245" s="281"/>
      <c r="I245" s="241"/>
    </row>
    <row r="246" spans="1:9" ht="12.75">
      <c r="A246" s="106" t="s">
        <v>325</v>
      </c>
      <c r="B246" s="106"/>
      <c r="C246" s="106"/>
      <c r="D246" s="106"/>
      <c r="E246" s="199"/>
      <c r="F246" s="246"/>
      <c r="G246" s="288"/>
      <c r="H246" s="281"/>
      <c r="I246" s="241"/>
    </row>
    <row r="247" spans="1:9" ht="12.75">
      <c r="A247" s="102" t="s">
        <v>326</v>
      </c>
      <c r="B247" s="102"/>
      <c r="C247" s="102"/>
      <c r="D247" s="102"/>
      <c r="E247" s="199">
        <v>172003.65600000002</v>
      </c>
      <c r="F247" s="246">
        <f>E247*1.06</f>
        <v>182323.87536000003</v>
      </c>
      <c r="G247" s="288"/>
      <c r="H247" s="281"/>
      <c r="I247" s="241"/>
    </row>
    <row r="248" spans="1:9" ht="12.75">
      <c r="A248" s="102" t="s">
        <v>327</v>
      </c>
      <c r="B248" s="102"/>
      <c r="C248" s="102"/>
      <c r="D248" s="102"/>
      <c r="E248" s="199">
        <v>7415.76</v>
      </c>
      <c r="F248" s="246">
        <f>E248*1.06</f>
        <v>7860.7056</v>
      </c>
      <c r="G248" s="288"/>
      <c r="H248" s="281"/>
      <c r="I248" s="241"/>
    </row>
    <row r="249" spans="1:9" ht="12.75">
      <c r="A249" s="102"/>
      <c r="B249" s="102"/>
      <c r="C249" s="102"/>
      <c r="D249" s="102"/>
      <c r="E249" s="199"/>
      <c r="F249" s="246"/>
      <c r="G249" s="288"/>
      <c r="H249" s="281"/>
      <c r="I249" s="241"/>
    </row>
    <row r="250" spans="1:9" ht="12.75">
      <c r="A250" s="106" t="s">
        <v>328</v>
      </c>
      <c r="B250" s="106"/>
      <c r="C250" s="106"/>
      <c r="D250" s="106"/>
      <c r="E250" s="199"/>
      <c r="F250" s="246"/>
      <c r="G250" s="288"/>
      <c r="H250" s="281"/>
      <c r="I250" s="241"/>
    </row>
    <row r="251" spans="1:9" ht="12.75">
      <c r="A251" s="102" t="s">
        <v>329</v>
      </c>
      <c r="B251" s="102"/>
      <c r="C251" s="102"/>
      <c r="D251" s="102"/>
      <c r="E251" s="199">
        <v>44662.46400000001</v>
      </c>
      <c r="F251" s="246">
        <f>E251*1.06</f>
        <v>47342.21184000001</v>
      </c>
      <c r="G251" s="288"/>
      <c r="H251" s="281"/>
      <c r="I251" s="241"/>
    </row>
    <row r="252" spans="1:9" ht="12.75">
      <c r="A252" s="102" t="s">
        <v>330</v>
      </c>
      <c r="B252" s="102"/>
      <c r="C252" s="102"/>
      <c r="D252" s="102"/>
      <c r="E252" s="199">
        <v>3707.88</v>
      </c>
      <c r="F252" s="246">
        <f>E252*1.06</f>
        <v>3930.3528</v>
      </c>
      <c r="G252" s="288"/>
      <c r="H252" s="281"/>
      <c r="I252" s="241"/>
    </row>
    <row r="253" spans="1:9" ht="12.75">
      <c r="A253" s="100"/>
      <c r="B253" s="100"/>
      <c r="C253" s="100"/>
      <c r="D253" s="100"/>
      <c r="E253" s="205"/>
      <c r="F253" s="253"/>
      <c r="G253" s="288"/>
      <c r="H253" s="281"/>
      <c r="I253" s="241"/>
    </row>
    <row r="254" spans="1:9" ht="12.75">
      <c r="A254" s="106" t="s">
        <v>331</v>
      </c>
      <c r="B254" s="106"/>
      <c r="C254" s="106"/>
      <c r="D254" s="106"/>
      <c r="E254" s="199"/>
      <c r="F254" s="246"/>
      <c r="G254" s="288"/>
      <c r="H254" s="281"/>
      <c r="I254" s="241"/>
    </row>
    <row r="255" spans="1:9" ht="12.75">
      <c r="A255" s="100" t="s">
        <v>332</v>
      </c>
      <c r="B255" s="100"/>
      <c r="C255" s="100"/>
      <c r="D255" s="100"/>
      <c r="E255" s="199">
        <v>139920</v>
      </c>
      <c r="F255" s="246">
        <f>E255*1.06</f>
        <v>148315.2</v>
      </c>
      <c r="G255" s="288"/>
      <c r="H255" s="281"/>
      <c r="I255" s="241"/>
    </row>
    <row r="256" spans="1:9" ht="12.75">
      <c r="A256" s="100" t="s">
        <v>333</v>
      </c>
      <c r="B256" s="100"/>
      <c r="C256" s="100"/>
      <c r="D256" s="100"/>
      <c r="E256" s="199">
        <v>24486</v>
      </c>
      <c r="F256" s="246">
        <f>E256*1.06</f>
        <v>25955.16</v>
      </c>
      <c r="G256" s="288"/>
      <c r="H256" s="281"/>
      <c r="I256" s="241"/>
    </row>
    <row r="257" spans="1:9" ht="12.75">
      <c r="A257" s="102" t="s">
        <v>334</v>
      </c>
      <c r="B257" s="102"/>
      <c r="C257" s="102"/>
      <c r="D257" s="102"/>
      <c r="E257" s="199">
        <v>2224.7280000000005</v>
      </c>
      <c r="F257" s="246">
        <f>E257*1.06</f>
        <v>2358.211680000001</v>
      </c>
      <c r="G257" s="288"/>
      <c r="H257" s="281"/>
      <c r="I257" s="241"/>
    </row>
    <row r="258" spans="1:9" ht="12.75">
      <c r="A258" s="102" t="s">
        <v>335</v>
      </c>
      <c r="B258" s="102"/>
      <c r="C258" s="102"/>
      <c r="D258" s="102"/>
      <c r="E258" s="199">
        <v>23254.704</v>
      </c>
      <c r="F258" s="246">
        <f>E258*1.06</f>
        <v>24649.986240000002</v>
      </c>
      <c r="G258" s="288"/>
      <c r="H258" s="281"/>
      <c r="I258" s="241"/>
    </row>
    <row r="259" spans="1:9" ht="12.75">
      <c r="A259" s="100"/>
      <c r="B259" s="100"/>
      <c r="C259" s="100"/>
      <c r="D259" s="100"/>
      <c r="E259" s="199"/>
      <c r="F259" s="246"/>
      <c r="G259" s="288"/>
      <c r="H259" s="281"/>
      <c r="I259" s="241"/>
    </row>
    <row r="260" spans="1:9" ht="12.75">
      <c r="A260" s="106" t="s">
        <v>336</v>
      </c>
      <c r="B260" s="106"/>
      <c r="C260" s="106"/>
      <c r="D260" s="106"/>
      <c r="E260" s="199"/>
      <c r="F260" s="246"/>
      <c r="G260" s="288"/>
      <c r="H260" s="281"/>
      <c r="I260" s="241"/>
    </row>
    <row r="261" spans="1:9" ht="12.75">
      <c r="A261" s="104" t="s">
        <v>337</v>
      </c>
      <c r="B261" s="104"/>
      <c r="C261" s="104"/>
      <c r="D261" s="104"/>
      <c r="E261" s="199"/>
      <c r="F261" s="246"/>
      <c r="G261" s="288"/>
      <c r="H261" s="281"/>
      <c r="I261" s="241"/>
    </row>
    <row r="262" spans="1:9" ht="12.75">
      <c r="A262" s="102" t="s">
        <v>338</v>
      </c>
      <c r="B262" s="102"/>
      <c r="C262" s="102"/>
      <c r="D262" s="102"/>
      <c r="E262" s="199">
        <v>85113.33600000001</v>
      </c>
      <c r="F262" s="246">
        <f>E262*1.06</f>
        <v>90220.13616000001</v>
      </c>
      <c r="G262" s="288"/>
      <c r="H262" s="281"/>
      <c r="I262" s="241"/>
    </row>
    <row r="263" spans="1:9" ht="12.75">
      <c r="A263" s="102" t="s">
        <v>339</v>
      </c>
      <c r="B263" s="102"/>
      <c r="C263" s="102"/>
      <c r="D263" s="102"/>
      <c r="E263" s="199">
        <v>2224.7280000000005</v>
      </c>
      <c r="F263" s="246">
        <f>E263*1.06</f>
        <v>2358.211680000001</v>
      </c>
      <c r="G263" s="288"/>
      <c r="H263" s="281"/>
      <c r="I263" s="241"/>
    </row>
    <row r="264" spans="1:9" ht="12.75">
      <c r="A264" s="102" t="s">
        <v>340</v>
      </c>
      <c r="B264" s="102"/>
      <c r="C264" s="102"/>
      <c r="D264" s="102"/>
      <c r="E264" s="199"/>
      <c r="F264" s="246"/>
      <c r="G264" s="288"/>
      <c r="H264" s="281"/>
      <c r="I264" s="241"/>
    </row>
    <row r="265" spans="1:9" ht="12.75">
      <c r="A265" s="130" t="s">
        <v>341</v>
      </c>
      <c r="B265" s="130"/>
      <c r="C265" s="130"/>
      <c r="D265" s="130"/>
      <c r="E265" s="199">
        <v>69960</v>
      </c>
      <c r="F265" s="246">
        <f>E265*1.06</f>
        <v>74157.6</v>
      </c>
      <c r="G265" s="288"/>
      <c r="H265" s="281"/>
      <c r="I265" s="241"/>
    </row>
    <row r="266" spans="1:9" ht="12.75">
      <c r="A266" s="103" t="s">
        <v>342</v>
      </c>
      <c r="B266" s="103"/>
      <c r="C266" s="103"/>
      <c r="D266" s="103"/>
      <c r="E266" s="205"/>
      <c r="F266" s="253"/>
      <c r="G266" s="288"/>
      <c r="H266" s="281"/>
      <c r="I266" s="241"/>
    </row>
    <row r="267" spans="1:9" ht="12.75">
      <c r="A267" s="102" t="s">
        <v>343</v>
      </c>
      <c r="B267" s="102"/>
      <c r="C267" s="102"/>
      <c r="D267" s="102"/>
      <c r="E267" s="199">
        <v>1235.96</v>
      </c>
      <c r="F267" s="246">
        <f>E267*1.06</f>
        <v>1310.1176</v>
      </c>
      <c r="G267" s="288"/>
      <c r="H267" s="281"/>
      <c r="I267" s="241"/>
    </row>
    <row r="268" spans="1:9" ht="12.75">
      <c r="A268" s="102" t="s">
        <v>344</v>
      </c>
      <c r="B268" s="102"/>
      <c r="C268" s="102"/>
      <c r="D268" s="102"/>
      <c r="E268" s="199">
        <v>12592.8</v>
      </c>
      <c r="F268" s="246">
        <f>E268*1.06</f>
        <v>13348.368</v>
      </c>
      <c r="G268" s="288"/>
      <c r="H268" s="281"/>
      <c r="I268" s="241"/>
    </row>
    <row r="269" spans="1:9" ht="12.75">
      <c r="A269" s="103"/>
      <c r="B269" s="103"/>
      <c r="C269" s="103"/>
      <c r="D269" s="103"/>
      <c r="E269" s="205"/>
      <c r="F269" s="253"/>
      <c r="G269" s="288"/>
      <c r="H269" s="281"/>
      <c r="I269" s="241"/>
    </row>
    <row r="270" spans="1:9" ht="12.75">
      <c r="A270" s="106" t="s">
        <v>345</v>
      </c>
      <c r="B270" s="106"/>
      <c r="C270" s="106"/>
      <c r="D270" s="106"/>
      <c r="E270" s="199">
        <v>167302.344</v>
      </c>
      <c r="F270" s="246">
        <f>E270*1.06</f>
        <v>177340.48464</v>
      </c>
      <c r="G270" s="288"/>
      <c r="H270" s="281"/>
      <c r="I270" s="241"/>
    </row>
    <row r="271" spans="1:9" ht="12.75">
      <c r="A271" s="100"/>
      <c r="B271" s="100"/>
      <c r="C271" s="100"/>
      <c r="D271" s="100"/>
      <c r="E271" s="206"/>
      <c r="F271" s="257"/>
      <c r="G271" s="288"/>
      <c r="H271" s="281"/>
      <c r="I271" s="241"/>
    </row>
    <row r="272" spans="1:9" ht="13.5" thickBot="1">
      <c r="A272" s="113" t="s">
        <v>346</v>
      </c>
      <c r="B272" s="113"/>
      <c r="C272" s="113"/>
      <c r="D272" s="113"/>
      <c r="E272" s="214">
        <v>917608.9280000002</v>
      </c>
      <c r="F272" s="258">
        <f>SUM(F239:F270)</f>
        <v>972665.4636799999</v>
      </c>
      <c r="G272" s="289">
        <f>560309.14</f>
        <v>560309.14</v>
      </c>
      <c r="H272" s="283">
        <f>F272-G272</f>
        <v>412356.3236799999</v>
      </c>
      <c r="I272" s="248">
        <f>G272/F272</f>
        <v>0.5760553457713162</v>
      </c>
    </row>
    <row r="273" spans="1:9" ht="13.5" thickTop="1">
      <c r="A273" s="100"/>
      <c r="B273" s="100"/>
      <c r="C273" s="100"/>
      <c r="D273" s="100"/>
      <c r="E273" s="206"/>
      <c r="F273" s="257"/>
      <c r="G273" s="288"/>
      <c r="H273" s="284">
        <f>F273-G273</f>
        <v>0</v>
      </c>
      <c r="I273" s="241"/>
    </row>
    <row r="274" spans="1:9" ht="12.75">
      <c r="A274" s="101" t="s">
        <v>347</v>
      </c>
      <c r="B274" s="101"/>
      <c r="C274" s="101"/>
      <c r="D274" s="101"/>
      <c r="E274" s="199">
        <v>33580.8</v>
      </c>
      <c r="F274" s="246">
        <f>E274*1.06</f>
        <v>35595.64800000001</v>
      </c>
      <c r="G274" s="288">
        <f>118147.34</f>
        <v>118147.34</v>
      </c>
      <c r="H274" s="282">
        <f>F274-G274</f>
        <v>-82551.69199999998</v>
      </c>
      <c r="I274" s="243">
        <f>G274/F274</f>
        <v>3.319151262536363</v>
      </c>
    </row>
    <row r="275" spans="1:9" ht="12.75">
      <c r="A275" s="101"/>
      <c r="B275" s="101"/>
      <c r="C275" s="101"/>
      <c r="D275" s="101"/>
      <c r="E275" s="199"/>
      <c r="F275" s="246"/>
      <c r="G275" s="288"/>
      <c r="H275" s="281"/>
      <c r="I275" s="241"/>
    </row>
    <row r="276" spans="1:9" ht="12.75">
      <c r="A276" s="101" t="s">
        <v>348</v>
      </c>
      <c r="B276" s="101"/>
      <c r="C276" s="101"/>
      <c r="D276" s="101"/>
      <c r="E276" s="199">
        <v>47530.824</v>
      </c>
      <c r="F276" s="246">
        <f>E276*1.06</f>
        <v>50382.673440000006</v>
      </c>
      <c r="G276" s="288">
        <v>109675.89</v>
      </c>
      <c r="H276" s="282">
        <f>F276-G276</f>
        <v>-59293.21655999999</v>
      </c>
      <c r="I276" s="243">
        <f>G276/F276</f>
        <v>2.176857290644003</v>
      </c>
    </row>
    <row r="277" spans="1:9" ht="12.75">
      <c r="A277" s="101"/>
      <c r="B277" s="101"/>
      <c r="C277" s="101"/>
      <c r="D277" s="101"/>
      <c r="E277" s="199"/>
      <c r="F277" s="246"/>
      <c r="G277" s="288"/>
      <c r="H277" s="281"/>
      <c r="I277" s="241"/>
    </row>
    <row r="278" spans="1:9" ht="12.75">
      <c r="A278" s="101" t="s">
        <v>349</v>
      </c>
      <c r="B278" s="101"/>
      <c r="C278" s="101"/>
      <c r="D278" s="101"/>
      <c r="E278" s="199">
        <v>31482</v>
      </c>
      <c r="F278" s="246">
        <f>E278*1.06</f>
        <v>33370.92</v>
      </c>
      <c r="G278" s="288">
        <v>52961.03</v>
      </c>
      <c r="H278" s="282">
        <f>F278-G278</f>
        <v>-19590.11</v>
      </c>
      <c r="I278" s="243">
        <f>G278/F278</f>
        <v>1.5870413521712916</v>
      </c>
    </row>
    <row r="279" spans="1:9" ht="12.75">
      <c r="A279" s="101"/>
      <c r="B279" s="101"/>
      <c r="C279" s="101"/>
      <c r="D279" s="101"/>
      <c r="E279" s="199"/>
      <c r="F279" s="246"/>
      <c r="G279" s="288"/>
      <c r="H279" s="281"/>
      <c r="I279" s="241"/>
    </row>
    <row r="280" spans="1:9" ht="12.75">
      <c r="A280" s="101" t="s">
        <v>350</v>
      </c>
      <c r="B280" s="101"/>
      <c r="C280" s="101"/>
      <c r="D280" s="101"/>
      <c r="E280" s="199">
        <v>127200</v>
      </c>
      <c r="F280" s="246">
        <f>E280*1.06</f>
        <v>134832</v>
      </c>
      <c r="G280" s="288">
        <v>118307.95</v>
      </c>
      <c r="H280" s="282">
        <f>F280-G280</f>
        <v>16524.050000000003</v>
      </c>
      <c r="I280" s="243">
        <f>G280/F280</f>
        <v>0.8774471193781891</v>
      </c>
    </row>
    <row r="281" spans="1:9" ht="12.75">
      <c r="A281" s="101"/>
      <c r="B281" s="101"/>
      <c r="C281" s="101"/>
      <c r="D281" s="101"/>
      <c r="E281" s="199"/>
      <c r="F281" s="246"/>
      <c r="G281" s="288"/>
      <c r="H281" s="281"/>
      <c r="I281" s="241"/>
    </row>
    <row r="282" spans="1:9" ht="15.75" customHeight="1">
      <c r="A282" s="133" t="s">
        <v>351</v>
      </c>
      <c r="B282" s="101"/>
      <c r="C282" s="101"/>
      <c r="D282" s="101"/>
      <c r="E282" s="199">
        <v>500000</v>
      </c>
      <c r="F282" s="246">
        <f>80*5000</f>
        <v>400000</v>
      </c>
      <c r="G282" s="288">
        <f>97986.69</f>
        <v>97986.69</v>
      </c>
      <c r="H282" s="282">
        <f>F282-G282</f>
        <v>302013.31</v>
      </c>
      <c r="I282" s="243">
        <f>G282/F282</f>
        <v>0.244966725</v>
      </c>
    </row>
    <row r="283" spans="1:9" ht="12.75">
      <c r="A283" s="101"/>
      <c r="B283" s="101"/>
      <c r="C283" s="101"/>
      <c r="D283" s="101"/>
      <c r="E283" s="199"/>
      <c r="F283" s="246"/>
      <c r="G283" s="288"/>
      <c r="H283" s="282">
        <f>F283-G283</f>
        <v>0</v>
      </c>
      <c r="I283" s="241"/>
    </row>
    <row r="284" spans="1:9" ht="26.25" customHeight="1">
      <c r="A284" s="134" t="s">
        <v>352</v>
      </c>
      <c r="B284" s="117"/>
      <c r="C284" s="117"/>
      <c r="D284" s="117"/>
      <c r="E284" s="200">
        <v>500000</v>
      </c>
      <c r="F284" s="246">
        <f>E284*1.06</f>
        <v>530000</v>
      </c>
      <c r="G284" s="288"/>
      <c r="H284" s="282"/>
      <c r="I284" s="241"/>
    </row>
    <row r="285" spans="1:9" ht="12.75">
      <c r="A285" s="117"/>
      <c r="B285" s="117"/>
      <c r="C285" s="117"/>
      <c r="D285" s="117"/>
      <c r="E285" s="200"/>
      <c r="F285" s="246"/>
      <c r="G285" s="288"/>
      <c r="H285" s="282"/>
      <c r="I285" s="243"/>
    </row>
    <row r="286" spans="1:9" ht="12.75">
      <c r="A286" s="119" t="s">
        <v>353</v>
      </c>
      <c r="B286" s="117"/>
      <c r="C286" s="117"/>
      <c r="D286" s="117"/>
      <c r="E286" s="200">
        <v>114091</v>
      </c>
      <c r="F286" s="246">
        <v>90000</v>
      </c>
      <c r="G286" s="288"/>
      <c r="H286" s="281"/>
      <c r="I286" s="241"/>
    </row>
    <row r="287" spans="1:9" ht="13.5" thickBot="1">
      <c r="A287" s="101"/>
      <c r="B287" s="101"/>
      <c r="C287" s="101"/>
      <c r="D287" s="101"/>
      <c r="E287" s="199"/>
      <c r="F287" s="246"/>
      <c r="G287" s="288"/>
      <c r="H287" s="281"/>
      <c r="I287" s="241"/>
    </row>
    <row r="288" spans="1:9" ht="13.5" thickBot="1">
      <c r="A288" s="124" t="s">
        <v>354</v>
      </c>
      <c r="B288" s="125"/>
      <c r="C288" s="125"/>
      <c r="D288" s="125"/>
      <c r="E288" s="219">
        <f>SUM(E274:E286)+E272+E235+E225+E216+E206+E196</f>
        <v>6772053.700680001</v>
      </c>
      <c r="F288" s="263">
        <f>SUM(F274:F286)+F272+F235+F225+F216+F206+F196</f>
        <v>6341831.275948801</v>
      </c>
      <c r="G288" s="289">
        <f>SUM(G274:G287)</f>
        <v>497078.9</v>
      </c>
      <c r="H288" s="283">
        <f>SUM(H274:H287)</f>
        <v>157102.34144</v>
      </c>
      <c r="I288" s="248">
        <f>G288/F288</f>
        <v>0.07838097205221406</v>
      </c>
    </row>
    <row r="289" spans="1:9" ht="12.75">
      <c r="A289" s="86"/>
      <c r="B289" s="86"/>
      <c r="C289" s="86"/>
      <c r="D289" s="86"/>
      <c r="E289" s="47"/>
      <c r="F289" s="262"/>
      <c r="G289" s="288"/>
      <c r="H289" s="281"/>
      <c r="I289" s="241"/>
    </row>
    <row r="290" spans="1:9" ht="12.75">
      <c r="A290" s="135" t="s">
        <v>355</v>
      </c>
      <c r="B290" s="136" t="s">
        <v>356</v>
      </c>
      <c r="C290" s="136" t="s">
        <v>66</v>
      </c>
      <c r="D290" s="136" t="s">
        <v>78</v>
      </c>
      <c r="E290" s="220"/>
      <c r="F290" s="264"/>
      <c r="G290" s="288"/>
      <c r="H290" s="281"/>
      <c r="I290" s="241"/>
    </row>
    <row r="291" spans="1:9" ht="12.75">
      <c r="A291" s="137"/>
      <c r="B291" s="138"/>
      <c r="C291" s="138"/>
      <c r="D291" s="138"/>
      <c r="E291" s="221"/>
      <c r="F291" s="265"/>
      <c r="G291" s="288"/>
      <c r="H291" s="281"/>
      <c r="I291" s="241"/>
    </row>
    <row r="292" spans="1:9" ht="12.75">
      <c r="A292" s="131" t="s">
        <v>357</v>
      </c>
      <c r="B292" s="139"/>
      <c r="C292" s="139"/>
      <c r="D292" s="139"/>
      <c r="E292" s="222"/>
      <c r="F292" s="266"/>
      <c r="G292" s="288"/>
      <c r="H292" s="281"/>
      <c r="I292" s="241"/>
    </row>
    <row r="293" spans="1:9" ht="12.75">
      <c r="A293" s="100"/>
      <c r="B293" s="139"/>
      <c r="C293" s="139"/>
      <c r="D293" s="139"/>
      <c r="E293" s="222"/>
      <c r="F293" s="266"/>
      <c r="G293" s="288"/>
      <c r="H293" s="281"/>
      <c r="I293" s="241"/>
    </row>
    <row r="294" spans="1:9" ht="12.75">
      <c r="A294" s="130" t="s">
        <v>358</v>
      </c>
      <c r="B294" s="139">
        <v>0</v>
      </c>
      <c r="C294" s="139"/>
      <c r="D294" s="139"/>
      <c r="E294" s="222">
        <v>50000</v>
      </c>
      <c r="F294" s="246">
        <f aca="true" t="shared" si="11" ref="F294:F301">E294*1.06</f>
        <v>53000</v>
      </c>
      <c r="G294" s="288"/>
      <c r="H294" s="281"/>
      <c r="I294" s="241"/>
    </row>
    <row r="295" spans="1:9" ht="12.75">
      <c r="A295" s="130" t="s">
        <v>359</v>
      </c>
      <c r="B295" s="100">
        <v>75000</v>
      </c>
      <c r="C295" s="100"/>
      <c r="D295" s="139"/>
      <c r="E295" s="222">
        <v>75000</v>
      </c>
      <c r="F295" s="246">
        <f t="shared" si="11"/>
        <v>79500</v>
      </c>
      <c r="G295" s="288"/>
      <c r="H295" s="281"/>
      <c r="I295" s="241"/>
    </row>
    <row r="296" spans="1:9" ht="12.75">
      <c r="A296" s="130" t="s">
        <v>360</v>
      </c>
      <c r="B296" s="140">
        <v>0</v>
      </c>
      <c r="C296" s="140"/>
      <c r="D296" s="139"/>
      <c r="E296" s="222">
        <v>0</v>
      </c>
      <c r="F296" s="246">
        <f t="shared" si="11"/>
        <v>0</v>
      </c>
      <c r="G296" s="288"/>
      <c r="H296" s="281"/>
      <c r="I296" s="241"/>
    </row>
    <row r="297" spans="1:9" ht="12.75">
      <c r="A297" s="130" t="s">
        <v>361</v>
      </c>
      <c r="B297" s="140">
        <v>200000</v>
      </c>
      <c r="C297" s="140"/>
      <c r="D297" s="139"/>
      <c r="E297" s="222">
        <v>200000</v>
      </c>
      <c r="F297" s="246">
        <f t="shared" si="11"/>
        <v>212000</v>
      </c>
      <c r="G297" s="288"/>
      <c r="H297" s="281"/>
      <c r="I297" s="241"/>
    </row>
    <row r="298" spans="1:9" ht="12.75">
      <c r="A298" s="130" t="s">
        <v>362</v>
      </c>
      <c r="B298" s="140">
        <v>0</v>
      </c>
      <c r="C298" s="140">
        <v>50000</v>
      </c>
      <c r="D298" s="139"/>
      <c r="E298" s="222">
        <v>50000</v>
      </c>
      <c r="F298" s="246">
        <f t="shared" si="11"/>
        <v>53000</v>
      </c>
      <c r="G298" s="288"/>
      <c r="H298" s="281"/>
      <c r="I298" s="241"/>
    </row>
    <row r="299" spans="1:9" ht="12.75">
      <c r="A299" s="141" t="s">
        <v>363</v>
      </c>
      <c r="B299" s="142"/>
      <c r="C299" s="142"/>
      <c r="D299" s="142">
        <v>324000</v>
      </c>
      <c r="E299" s="223">
        <v>108000</v>
      </c>
      <c r="F299" s="246">
        <f t="shared" si="11"/>
        <v>114480</v>
      </c>
      <c r="G299" s="288"/>
      <c r="H299" s="281"/>
      <c r="I299" s="241"/>
    </row>
    <row r="300" spans="1:9" ht="12.75">
      <c r="A300" s="123" t="s">
        <v>364</v>
      </c>
      <c r="B300" s="139"/>
      <c r="C300" s="139">
        <v>50000</v>
      </c>
      <c r="D300" s="139"/>
      <c r="E300" s="222">
        <v>50000</v>
      </c>
      <c r="F300" s="246">
        <f t="shared" si="11"/>
        <v>53000</v>
      </c>
      <c r="G300" s="288"/>
      <c r="H300" s="281"/>
      <c r="I300" s="241"/>
    </row>
    <row r="301" spans="1:9" ht="12.75">
      <c r="A301" s="123" t="s">
        <v>365</v>
      </c>
      <c r="B301" s="139"/>
      <c r="C301" s="139">
        <v>50000</v>
      </c>
      <c r="D301" s="139"/>
      <c r="E301" s="222">
        <v>50000</v>
      </c>
      <c r="F301" s="246">
        <f t="shared" si="11"/>
        <v>53000</v>
      </c>
      <c r="G301" s="288">
        <v>16590.67</v>
      </c>
      <c r="H301" s="282">
        <f>F301-G301</f>
        <v>36409.33</v>
      </c>
      <c r="I301" s="243">
        <f>G301/F301</f>
        <v>0.31303150943396224</v>
      </c>
    </row>
    <row r="302" spans="1:9" ht="12.75">
      <c r="A302" s="144"/>
      <c r="B302" s="145"/>
      <c r="C302" s="145"/>
      <c r="D302" s="145"/>
      <c r="E302" s="224"/>
      <c r="F302" s="267"/>
      <c r="G302" s="288"/>
      <c r="H302" s="281"/>
      <c r="I302" s="241"/>
    </row>
    <row r="303" spans="1:9" ht="12.75">
      <c r="A303" s="113" t="s">
        <v>366</v>
      </c>
      <c r="B303" s="146">
        <f>SUM(B294:B302)</f>
        <v>275000</v>
      </c>
      <c r="C303" s="146">
        <f>SUM(C294:C302)</f>
        <v>150000</v>
      </c>
      <c r="D303" s="146">
        <f>SUM(D294:D302)</f>
        <v>324000</v>
      </c>
      <c r="E303" s="225">
        <f>SUM(E294:E302)</f>
        <v>583000</v>
      </c>
      <c r="F303" s="268">
        <f>SUM(F294:F302)</f>
        <v>617980</v>
      </c>
      <c r="G303" s="288"/>
      <c r="H303" s="281"/>
      <c r="I303" s="241"/>
    </row>
    <row r="304" spans="1:9" ht="12.75">
      <c r="A304" s="147"/>
      <c r="B304" s="148"/>
      <c r="C304" s="148"/>
      <c r="D304" s="148"/>
      <c r="E304" s="226"/>
      <c r="F304" s="269"/>
      <c r="G304" s="288"/>
      <c r="H304" s="281"/>
      <c r="I304" s="241"/>
    </row>
    <row r="305" spans="1:9" ht="12.75">
      <c r="A305" s="101" t="s">
        <v>367</v>
      </c>
      <c r="B305" s="149"/>
      <c r="C305" s="149"/>
      <c r="D305" s="149"/>
      <c r="E305" s="227"/>
      <c r="F305" s="270"/>
      <c r="G305" s="288"/>
      <c r="H305" s="281"/>
      <c r="I305" s="241"/>
    </row>
    <row r="306" spans="1:9" ht="12.75">
      <c r="A306" s="100"/>
      <c r="B306" s="139"/>
      <c r="C306" s="139"/>
      <c r="D306" s="139"/>
      <c r="E306" s="222"/>
      <c r="F306" s="266"/>
      <c r="G306" s="288"/>
      <c r="H306" s="281"/>
      <c r="I306" s="241"/>
    </row>
    <row r="307" spans="1:9" ht="12.75">
      <c r="A307" s="141" t="s">
        <v>368</v>
      </c>
      <c r="B307" s="142"/>
      <c r="C307" s="142"/>
      <c r="D307" s="142">
        <v>324000</v>
      </c>
      <c r="E307" s="223">
        <v>108000</v>
      </c>
      <c r="F307" s="246">
        <f>E307*1.06</f>
        <v>114480</v>
      </c>
      <c r="G307" s="288"/>
      <c r="H307" s="281"/>
      <c r="I307" s="241"/>
    </row>
    <row r="308" spans="1:9" ht="12.75">
      <c r="A308" s="123" t="s">
        <v>369</v>
      </c>
      <c r="B308" s="139">
        <v>500000</v>
      </c>
      <c r="C308" s="139"/>
      <c r="D308" s="139"/>
      <c r="E308" s="222">
        <v>250000</v>
      </c>
      <c r="F308" s="246">
        <v>120000</v>
      </c>
      <c r="G308" s="288"/>
      <c r="H308" s="281"/>
      <c r="I308" s="241"/>
    </row>
    <row r="309" spans="1:9" ht="12.75">
      <c r="A309" s="123" t="s">
        <v>370</v>
      </c>
      <c r="B309" s="139">
        <v>250000</v>
      </c>
      <c r="C309" s="139"/>
      <c r="D309" s="139"/>
      <c r="E309" s="222">
        <v>250000</v>
      </c>
      <c r="F309" s="246">
        <v>120000</v>
      </c>
      <c r="G309" s="288"/>
      <c r="H309" s="281"/>
      <c r="I309" s="241"/>
    </row>
    <row r="310" spans="1:9" ht="12.75">
      <c r="A310" s="123" t="s">
        <v>364</v>
      </c>
      <c r="B310" s="139"/>
      <c r="C310" s="139">
        <v>50000</v>
      </c>
      <c r="D310" s="139"/>
      <c r="E310" s="222">
        <v>50000</v>
      </c>
      <c r="F310" s="246">
        <f>E310*1.06</f>
        <v>53000</v>
      </c>
      <c r="G310" s="288"/>
      <c r="H310" s="281"/>
      <c r="I310" s="241"/>
    </row>
    <row r="311" spans="1:9" ht="12.75">
      <c r="A311" s="123" t="s">
        <v>365</v>
      </c>
      <c r="B311" s="139"/>
      <c r="C311" s="139">
        <v>50000</v>
      </c>
      <c r="D311" s="139"/>
      <c r="E311" s="222">
        <v>50000</v>
      </c>
      <c r="F311" s="246">
        <f>E311*1.06</f>
        <v>53000</v>
      </c>
      <c r="G311" s="288">
        <v>16590.67</v>
      </c>
      <c r="H311" s="282">
        <f>F311-G311</f>
        <v>36409.33</v>
      </c>
      <c r="I311" s="243">
        <f>G311/F311</f>
        <v>0.31303150943396224</v>
      </c>
    </row>
    <row r="312" spans="1:9" ht="12.75">
      <c r="A312" s="105" t="s">
        <v>371</v>
      </c>
      <c r="B312" s="146">
        <f>SUM(B307:B311)</f>
        <v>750000</v>
      </c>
      <c r="C312" s="146">
        <f>SUM(C307:C311)</f>
        <v>100000</v>
      </c>
      <c r="D312" s="146">
        <f>SUM(D307:D311)</f>
        <v>324000</v>
      </c>
      <c r="E312" s="225">
        <f>SUM(E307:E311)</f>
        <v>708000</v>
      </c>
      <c r="F312" s="268">
        <f>SUM(F307:F311)</f>
        <v>460480</v>
      </c>
      <c r="G312" s="288"/>
      <c r="H312" s="281"/>
      <c r="I312" s="241"/>
    </row>
    <row r="313" spans="1:9" ht="12.75">
      <c r="A313" s="150"/>
      <c r="B313" s="147"/>
      <c r="C313" s="147"/>
      <c r="D313" s="147"/>
      <c r="E313" s="228"/>
      <c r="F313" s="271"/>
      <c r="G313" s="288"/>
      <c r="H313" s="281"/>
      <c r="I313" s="241"/>
    </row>
    <row r="314" spans="1:9" ht="12.75">
      <c r="A314" s="101" t="s">
        <v>372</v>
      </c>
      <c r="B314" s="139"/>
      <c r="C314" s="139"/>
      <c r="D314" s="139"/>
      <c r="E314" s="222"/>
      <c r="F314" s="266"/>
      <c r="G314" s="288"/>
      <c r="H314" s="281"/>
      <c r="I314" s="241"/>
    </row>
    <row r="315" spans="1:9" ht="12.75">
      <c r="A315" s="100"/>
      <c r="B315" s="139"/>
      <c r="C315" s="139"/>
      <c r="D315" s="139"/>
      <c r="E315" s="222"/>
      <c r="F315" s="266"/>
      <c r="G315" s="288"/>
      <c r="H315" s="281"/>
      <c r="I315" s="241"/>
    </row>
    <row r="316" spans="1:9" ht="12.75">
      <c r="A316" s="151" t="s">
        <v>373</v>
      </c>
      <c r="B316" s="142"/>
      <c r="C316" s="142"/>
      <c r="D316" s="142">
        <v>324000</v>
      </c>
      <c r="E316" s="222">
        <v>108000</v>
      </c>
      <c r="F316" s="246">
        <f>E316*1.06</f>
        <v>114480</v>
      </c>
      <c r="G316" s="288"/>
      <c r="H316" s="281"/>
      <c r="I316" s="241"/>
    </row>
    <row r="317" spans="1:9" ht="12.75">
      <c r="A317" s="151" t="s">
        <v>374</v>
      </c>
      <c r="B317" s="142"/>
      <c r="C317" s="142"/>
      <c r="D317" s="142">
        <v>108000</v>
      </c>
      <c r="E317" s="222">
        <v>108000</v>
      </c>
      <c r="F317" s="246">
        <f>E317*1.06</f>
        <v>114480</v>
      </c>
      <c r="G317" s="288"/>
      <c r="H317" s="281"/>
      <c r="I317" s="241"/>
    </row>
    <row r="318" spans="1:9" ht="12.75">
      <c r="A318" s="123" t="s">
        <v>364</v>
      </c>
      <c r="B318" s="139"/>
      <c r="C318" s="139">
        <v>50000</v>
      </c>
      <c r="D318" s="139"/>
      <c r="E318" s="222">
        <v>50000</v>
      </c>
      <c r="F318" s="246">
        <f>E318*1.06</f>
        <v>53000</v>
      </c>
      <c r="G318" s="288"/>
      <c r="H318" s="281"/>
      <c r="I318" s="241"/>
    </row>
    <row r="319" spans="1:9" ht="12.75">
      <c r="A319" s="123" t="s">
        <v>365</v>
      </c>
      <c r="B319" s="139"/>
      <c r="C319" s="139">
        <v>50000</v>
      </c>
      <c r="D319" s="139"/>
      <c r="E319" s="222">
        <v>50000</v>
      </c>
      <c r="F319" s="246">
        <f>E319*1.06</f>
        <v>53000</v>
      </c>
      <c r="G319" s="288">
        <v>16590.67</v>
      </c>
      <c r="H319" s="282">
        <f>F319-G319</f>
        <v>36409.33</v>
      </c>
      <c r="I319" s="243">
        <f>G319/F319</f>
        <v>0.31303150943396224</v>
      </c>
    </row>
    <row r="320" spans="1:9" ht="12.75">
      <c r="A320" s="152" t="s">
        <v>375</v>
      </c>
      <c r="B320" s="153">
        <f>SUM(B314:B319)</f>
        <v>0</v>
      </c>
      <c r="C320" s="153">
        <f>SUM(C314:C319)</f>
        <v>100000</v>
      </c>
      <c r="D320" s="153">
        <f>SUM(D314:D319)</f>
        <v>432000</v>
      </c>
      <c r="E320" s="229">
        <f>SUM(E316:E319)</f>
        <v>316000</v>
      </c>
      <c r="F320" s="272">
        <f>SUM(F316:F319)</f>
        <v>334960</v>
      </c>
      <c r="G320" s="288"/>
      <c r="H320" s="281"/>
      <c r="I320" s="241"/>
    </row>
    <row r="321" spans="1:9" ht="12.75">
      <c r="A321" s="154"/>
      <c r="B321" s="155"/>
      <c r="C321" s="155"/>
      <c r="D321" s="155"/>
      <c r="E321" s="230"/>
      <c r="F321" s="273"/>
      <c r="G321" s="288"/>
      <c r="H321" s="281"/>
      <c r="I321" s="241"/>
    </row>
    <row r="322" spans="1:9" ht="12.75">
      <c r="A322" s="101" t="s">
        <v>376</v>
      </c>
      <c r="B322" s="139"/>
      <c r="C322" s="139"/>
      <c r="D322" s="139"/>
      <c r="E322" s="222"/>
      <c r="F322" s="266"/>
      <c r="G322" s="288"/>
      <c r="H322" s="281"/>
      <c r="I322" s="241"/>
    </row>
    <row r="323" spans="1:9" ht="12.75">
      <c r="A323" s="100"/>
      <c r="B323" s="139"/>
      <c r="C323" s="139"/>
      <c r="D323" s="139"/>
      <c r="E323" s="222"/>
      <c r="F323" s="266"/>
      <c r="G323" s="288"/>
      <c r="H323" s="281"/>
      <c r="I323" s="241"/>
    </row>
    <row r="324" spans="1:9" ht="12.75">
      <c r="A324" s="103" t="s">
        <v>377</v>
      </c>
      <c r="B324" s="139"/>
      <c r="C324" s="139"/>
      <c r="D324" s="139"/>
      <c r="E324" s="222">
        <v>0</v>
      </c>
      <c r="F324" s="246">
        <f aca="true" t="shared" si="12" ref="F324:F330">E324*1.06</f>
        <v>0</v>
      </c>
      <c r="G324" s="288"/>
      <c r="H324" s="281"/>
      <c r="I324" s="241"/>
    </row>
    <row r="325" spans="1:9" ht="12.75">
      <c r="A325" s="156" t="s">
        <v>378</v>
      </c>
      <c r="B325" s="142"/>
      <c r="C325" s="142"/>
      <c r="D325" s="142">
        <v>324000</v>
      </c>
      <c r="E325" s="223">
        <v>108000</v>
      </c>
      <c r="F325" s="246">
        <f t="shared" si="12"/>
        <v>114480</v>
      </c>
      <c r="G325" s="288"/>
      <c r="H325" s="281"/>
      <c r="I325" s="241"/>
    </row>
    <row r="326" spans="1:9" ht="12.75">
      <c r="A326" s="151" t="s">
        <v>379</v>
      </c>
      <c r="B326" s="142"/>
      <c r="C326" s="142"/>
      <c r="D326" s="142">
        <v>216000</v>
      </c>
      <c r="E326" s="222">
        <v>216000</v>
      </c>
      <c r="F326" s="246">
        <f t="shared" si="12"/>
        <v>228960</v>
      </c>
      <c r="G326" s="288"/>
      <c r="H326" s="281"/>
      <c r="I326" s="241"/>
    </row>
    <row r="327" spans="1:9" ht="12.75">
      <c r="A327" s="103" t="s">
        <v>380</v>
      </c>
      <c r="B327" s="139">
        <v>75000</v>
      </c>
      <c r="C327" s="139"/>
      <c r="D327" s="139"/>
      <c r="E327" s="222">
        <v>75000</v>
      </c>
      <c r="F327" s="246">
        <f t="shared" si="12"/>
        <v>79500</v>
      </c>
      <c r="G327" s="288"/>
      <c r="H327" s="281"/>
      <c r="I327" s="241"/>
    </row>
    <row r="328" spans="1:9" ht="12.75">
      <c r="A328" s="103" t="s">
        <v>381</v>
      </c>
      <c r="B328" s="139">
        <v>75000</v>
      </c>
      <c r="C328" s="139"/>
      <c r="D328" s="139"/>
      <c r="E328" s="222">
        <v>75000</v>
      </c>
      <c r="F328" s="246">
        <f t="shared" si="12"/>
        <v>79500</v>
      </c>
      <c r="G328" s="288"/>
      <c r="H328" s="281"/>
      <c r="I328" s="241"/>
    </row>
    <row r="329" spans="1:9" ht="12.75">
      <c r="A329" s="123" t="s">
        <v>364</v>
      </c>
      <c r="B329" s="139"/>
      <c r="C329" s="139">
        <v>50000</v>
      </c>
      <c r="D329" s="139"/>
      <c r="E329" s="222">
        <v>50000</v>
      </c>
      <c r="F329" s="246">
        <f t="shared" si="12"/>
        <v>53000</v>
      </c>
      <c r="G329" s="288"/>
      <c r="H329" s="281"/>
      <c r="I329" s="241"/>
    </row>
    <row r="330" spans="1:9" ht="12.75">
      <c r="A330" s="123" t="s">
        <v>365</v>
      </c>
      <c r="B330" s="139"/>
      <c r="C330" s="139">
        <v>50000</v>
      </c>
      <c r="D330" s="139"/>
      <c r="E330" s="222">
        <v>50000</v>
      </c>
      <c r="F330" s="246">
        <f t="shared" si="12"/>
        <v>53000</v>
      </c>
      <c r="G330" s="288">
        <v>16590.67</v>
      </c>
      <c r="H330" s="282">
        <f>F330-G330</f>
        <v>36409.33</v>
      </c>
      <c r="I330" s="243">
        <f>G330/F330</f>
        <v>0.31303150943396224</v>
      </c>
    </row>
    <row r="331" spans="1:14" ht="12.75">
      <c r="A331" s="154" t="s">
        <v>382</v>
      </c>
      <c r="B331" s="157">
        <f>SUM(B324:B330)</f>
        <v>150000</v>
      </c>
      <c r="C331" s="157">
        <f>SUM(C324:C330)</f>
        <v>100000</v>
      </c>
      <c r="D331" s="157">
        <f>SUM(D324:D330)</f>
        <v>540000</v>
      </c>
      <c r="E331" s="231">
        <f>SUM(E324:E330)</f>
        <v>574000</v>
      </c>
      <c r="F331" s="274">
        <f>SUM(F324:F330)</f>
        <v>608440</v>
      </c>
      <c r="G331" s="288"/>
      <c r="H331" s="281"/>
      <c r="I331" s="241"/>
      <c r="N331" s="293"/>
    </row>
    <row r="332" spans="1:9" ht="12.75">
      <c r="A332" s="158"/>
      <c r="B332" s="158"/>
      <c r="C332" s="158"/>
      <c r="D332" s="158"/>
      <c r="E332" s="232"/>
      <c r="F332" s="251"/>
      <c r="G332" s="288"/>
      <c r="H332" s="281"/>
      <c r="I332" s="241"/>
    </row>
    <row r="333" spans="1:9" ht="12.75">
      <c r="A333" s="117" t="s">
        <v>383</v>
      </c>
      <c r="B333" s="116"/>
      <c r="C333" s="143"/>
      <c r="D333" s="143"/>
      <c r="E333" s="200"/>
      <c r="F333" s="275"/>
      <c r="G333" s="288"/>
      <c r="H333" s="281"/>
      <c r="I333" s="241"/>
    </row>
    <row r="334" spans="1:9" ht="12.75">
      <c r="A334" s="116" t="s">
        <v>373</v>
      </c>
      <c r="B334" s="116"/>
      <c r="C334" s="143"/>
      <c r="D334" s="143"/>
      <c r="E334" s="223">
        <v>108000</v>
      </c>
      <c r="F334" s="246">
        <f>E334*1.06</f>
        <v>114480</v>
      </c>
      <c r="G334" s="288"/>
      <c r="H334" s="281"/>
      <c r="I334" s="241"/>
    </row>
    <row r="335" spans="1:9" ht="12.75">
      <c r="A335" s="117" t="s">
        <v>384</v>
      </c>
      <c r="B335" s="116"/>
      <c r="C335" s="143"/>
      <c r="D335" s="143"/>
      <c r="E335" s="223"/>
      <c r="F335" s="275"/>
      <c r="G335" s="288"/>
      <c r="H335" s="281"/>
      <c r="I335" s="241"/>
    </row>
    <row r="336" spans="1:9" ht="12.75">
      <c r="A336" s="116" t="s">
        <v>373</v>
      </c>
      <c r="B336" s="116"/>
      <c r="C336" s="143"/>
      <c r="D336" s="143"/>
      <c r="E336" s="223">
        <v>108000</v>
      </c>
      <c r="F336" s="246">
        <f>E336*1.06</f>
        <v>114480</v>
      </c>
      <c r="G336" s="288"/>
      <c r="H336" s="281"/>
      <c r="I336" s="241"/>
    </row>
    <row r="337" spans="1:9" ht="12.75">
      <c r="A337" s="117" t="s">
        <v>385</v>
      </c>
      <c r="B337" s="116"/>
      <c r="C337" s="143"/>
      <c r="D337" s="143"/>
      <c r="E337" s="223"/>
      <c r="F337" s="275"/>
      <c r="G337" s="288"/>
      <c r="H337" s="281"/>
      <c r="I337" s="241"/>
    </row>
    <row r="338" spans="1:9" ht="12.75">
      <c r="A338" s="116" t="s">
        <v>373</v>
      </c>
      <c r="B338" s="116"/>
      <c r="C338" s="143"/>
      <c r="D338" s="143"/>
      <c r="E338" s="223">
        <v>324000</v>
      </c>
      <c r="F338" s="246">
        <f>E338*1.06</f>
        <v>343440</v>
      </c>
      <c r="G338" s="288"/>
      <c r="H338" s="281"/>
      <c r="I338" s="241"/>
    </row>
    <row r="339" spans="1:9" ht="12.75">
      <c r="A339" s="116" t="s">
        <v>374</v>
      </c>
      <c r="B339" s="116"/>
      <c r="C339" s="143"/>
      <c r="D339" s="143"/>
      <c r="E339" s="223">
        <v>108000</v>
      </c>
      <c r="F339" s="246">
        <f>E339*1.06</f>
        <v>114480</v>
      </c>
      <c r="G339" s="288"/>
      <c r="H339" s="281"/>
      <c r="I339" s="241"/>
    </row>
    <row r="340" spans="1:9" ht="12.75">
      <c r="A340" s="117" t="s">
        <v>386</v>
      </c>
      <c r="B340" s="116"/>
      <c r="C340" s="143"/>
      <c r="D340" s="143"/>
      <c r="E340" s="223"/>
      <c r="F340" s="275"/>
      <c r="G340" s="288"/>
      <c r="H340" s="281"/>
      <c r="I340" s="241"/>
    </row>
    <row r="341" spans="1:9" ht="12.75">
      <c r="A341" s="116" t="s">
        <v>373</v>
      </c>
      <c r="B341" s="116"/>
      <c r="C341" s="143"/>
      <c r="D341" s="143"/>
      <c r="E341" s="223">
        <v>100000</v>
      </c>
      <c r="F341" s="246">
        <f>E341*1.06</f>
        <v>106000</v>
      </c>
      <c r="G341" s="288"/>
      <c r="H341" s="281"/>
      <c r="I341" s="241"/>
    </row>
    <row r="342" spans="1:9" ht="12.75">
      <c r="A342" s="117" t="s">
        <v>387</v>
      </c>
      <c r="B342" s="116"/>
      <c r="C342" s="143"/>
      <c r="D342" s="143"/>
      <c r="E342" s="223"/>
      <c r="F342" s="275"/>
      <c r="G342" s="288"/>
      <c r="H342" s="281"/>
      <c r="I342" s="241"/>
    </row>
    <row r="343" spans="1:9" ht="12.75">
      <c r="A343" s="116" t="s">
        <v>388</v>
      </c>
      <c r="B343" s="116"/>
      <c r="C343" s="143"/>
      <c r="D343" s="143"/>
      <c r="E343" s="223">
        <v>300000</v>
      </c>
      <c r="F343" s="246">
        <f>E343*1.06</f>
        <v>318000</v>
      </c>
      <c r="G343" s="288"/>
      <c r="H343" s="281"/>
      <c r="I343" s="241"/>
    </row>
    <row r="344" spans="1:9" ht="12.75">
      <c r="A344" s="117" t="s">
        <v>389</v>
      </c>
      <c r="B344" s="116"/>
      <c r="C344" s="143"/>
      <c r="D344" s="143"/>
      <c r="E344" s="223"/>
      <c r="F344" s="275"/>
      <c r="G344" s="288"/>
      <c r="H344" s="281"/>
      <c r="I344" s="241"/>
    </row>
    <row r="345" spans="1:9" ht="12.75">
      <c r="A345" s="116" t="s">
        <v>390</v>
      </c>
      <c r="B345" s="116"/>
      <c r="C345" s="143"/>
      <c r="D345" s="143"/>
      <c r="E345" s="223"/>
      <c r="F345" s="275"/>
      <c r="G345" s="288"/>
      <c r="H345" s="281"/>
      <c r="I345" s="241"/>
    </row>
    <row r="346" spans="1:9" ht="12.75">
      <c r="A346" s="116" t="s">
        <v>391</v>
      </c>
      <c r="B346" s="116"/>
      <c r="C346" s="143"/>
      <c r="D346" s="143"/>
      <c r="E346" s="223"/>
      <c r="F346" s="275"/>
      <c r="G346" s="288"/>
      <c r="H346" s="281"/>
      <c r="I346" s="241"/>
    </row>
    <row r="347" spans="1:9" ht="12.75">
      <c r="A347" s="116" t="s">
        <v>3</v>
      </c>
      <c r="B347" s="116"/>
      <c r="C347" s="143"/>
      <c r="D347" s="143"/>
      <c r="E347" s="223">
        <v>694535</v>
      </c>
      <c r="F347" s="246">
        <f>E347*1.06</f>
        <v>736207.1000000001</v>
      </c>
      <c r="G347" s="288">
        <v>5698.4</v>
      </c>
      <c r="H347" s="282">
        <f>F347-G347</f>
        <v>730508.7000000001</v>
      </c>
      <c r="I347" s="243">
        <f>G347/F347</f>
        <v>0.007740213317692805</v>
      </c>
    </row>
    <row r="348" spans="1:9" ht="12.75">
      <c r="A348" s="117" t="s">
        <v>392</v>
      </c>
      <c r="B348" s="159"/>
      <c r="C348" s="159"/>
      <c r="D348" s="159"/>
      <c r="E348" s="223"/>
      <c r="F348" s="275"/>
      <c r="G348" s="288"/>
      <c r="H348" s="281"/>
      <c r="I348" s="241"/>
    </row>
    <row r="349" spans="1:9" ht="12.75">
      <c r="A349" s="116" t="s">
        <v>393</v>
      </c>
      <c r="B349" s="159"/>
      <c r="C349" s="159"/>
      <c r="D349" s="114"/>
      <c r="E349" s="223"/>
      <c r="F349" s="275"/>
      <c r="G349" s="288"/>
      <c r="H349" s="281"/>
      <c r="I349" s="241"/>
    </row>
    <row r="350" spans="1:9" ht="12.75">
      <c r="A350" s="116" t="s">
        <v>394</v>
      </c>
      <c r="B350" s="159"/>
      <c r="C350" s="159"/>
      <c r="D350" s="114"/>
      <c r="E350" s="223">
        <v>500000</v>
      </c>
      <c r="F350" s="246">
        <v>350000</v>
      </c>
      <c r="G350" s="288"/>
      <c r="H350" s="281"/>
      <c r="I350" s="241"/>
    </row>
    <row r="351" spans="1:9" ht="12.75">
      <c r="A351" s="117" t="s">
        <v>395</v>
      </c>
      <c r="B351" s="116"/>
      <c r="C351" s="143"/>
      <c r="D351" s="143"/>
      <c r="E351" s="223"/>
      <c r="F351" s="275"/>
      <c r="G351" s="288"/>
      <c r="H351" s="281"/>
      <c r="I351" s="241"/>
    </row>
    <row r="352" spans="1:9" ht="12.75">
      <c r="A352" s="116" t="s">
        <v>396</v>
      </c>
      <c r="B352" s="116"/>
      <c r="C352" s="143"/>
      <c r="D352" s="143"/>
      <c r="E352" s="223">
        <v>428368</v>
      </c>
      <c r="F352" s="246">
        <f>E352*1.06</f>
        <v>454070.08</v>
      </c>
      <c r="G352" s="288">
        <f>4333.14</f>
        <v>4333.14</v>
      </c>
      <c r="H352" s="282">
        <f>F352-G352</f>
        <v>449736.94</v>
      </c>
      <c r="I352" s="243">
        <f>G352/F352</f>
        <v>0.009542888181489519</v>
      </c>
    </row>
    <row r="353" spans="1:9" ht="12.75">
      <c r="A353" s="117" t="s">
        <v>397</v>
      </c>
      <c r="B353" s="116"/>
      <c r="C353" s="143"/>
      <c r="D353" s="143"/>
      <c r="E353" s="223"/>
      <c r="F353" s="275"/>
      <c r="G353" s="288"/>
      <c r="H353" s="281"/>
      <c r="I353" s="241"/>
    </row>
    <row r="354" spans="1:9" ht="27" customHeight="1">
      <c r="A354" s="160" t="s">
        <v>398</v>
      </c>
      <c r="B354" s="161"/>
      <c r="C354" s="159"/>
      <c r="D354" s="159">
        <v>75000</v>
      </c>
      <c r="E354" s="233">
        <v>75000</v>
      </c>
      <c r="F354" s="246">
        <f>E354*1.06</f>
        <v>79500</v>
      </c>
      <c r="G354" s="288"/>
      <c r="H354" s="281"/>
      <c r="I354" s="241"/>
    </row>
    <row r="355" spans="1:9" ht="12.75">
      <c r="A355" s="119" t="s">
        <v>399</v>
      </c>
      <c r="B355" s="161"/>
      <c r="C355" s="159"/>
      <c r="D355" s="159">
        <v>75000</v>
      </c>
      <c r="E355" s="233">
        <v>75000</v>
      </c>
      <c r="F355" s="246">
        <f>E355*1.06</f>
        <v>79500</v>
      </c>
      <c r="G355" s="288"/>
      <c r="H355" s="281"/>
      <c r="I355" s="241"/>
    </row>
    <row r="356" spans="1:9" ht="12.75">
      <c r="A356" s="119" t="s">
        <v>400</v>
      </c>
      <c r="B356" s="161"/>
      <c r="C356" s="159"/>
      <c r="D356" s="159">
        <v>100000</v>
      </c>
      <c r="E356" s="233">
        <v>100000</v>
      </c>
      <c r="F356" s="246">
        <f>E356*1.06</f>
        <v>106000</v>
      </c>
      <c r="G356" s="288"/>
      <c r="H356" s="281"/>
      <c r="I356" s="241"/>
    </row>
    <row r="357" spans="1:9" ht="12.75">
      <c r="A357" s="162" t="s">
        <v>401</v>
      </c>
      <c r="B357" s="162"/>
      <c r="C357" s="162"/>
      <c r="D357" s="162"/>
      <c r="E357" s="234">
        <f>SUM(E333:E356)</f>
        <v>2920903</v>
      </c>
      <c r="F357" s="250">
        <f>SUM(F333:F356)</f>
        <v>2916157.18</v>
      </c>
      <c r="G357" s="288">
        <f>588344.67+225550</f>
        <v>813894.67</v>
      </c>
      <c r="H357" s="282">
        <f>F357-G357</f>
        <v>2102262.5100000002</v>
      </c>
      <c r="I357" s="243">
        <f>G357/F357</f>
        <v>0.2790983543623667</v>
      </c>
    </row>
    <row r="358" spans="1:9" ht="13.5" thickBot="1">
      <c r="A358" s="163"/>
      <c r="B358" s="163"/>
      <c r="C358" s="163"/>
      <c r="D358" s="163"/>
      <c r="E358" s="97"/>
      <c r="F358" s="249"/>
      <c r="G358" s="288"/>
      <c r="H358" s="281"/>
      <c r="I358" s="241"/>
    </row>
    <row r="359" spans="1:9" ht="13.5" thickBot="1">
      <c r="A359" s="124" t="s">
        <v>402</v>
      </c>
      <c r="B359" s="164"/>
      <c r="C359" s="164"/>
      <c r="D359" s="164"/>
      <c r="E359" s="165">
        <f>E357+E303+E312+E320+E331</f>
        <v>5101903</v>
      </c>
      <c r="F359" s="276">
        <f>F357+F303+F312+F320+F331</f>
        <v>4938017.18</v>
      </c>
      <c r="G359" s="288">
        <f>SUM(G357+G352+G347+G330+G311+G301)</f>
        <v>873698.2200000002</v>
      </c>
      <c r="H359" s="282">
        <f>F359-G359</f>
        <v>4064318.9599999995</v>
      </c>
      <c r="I359" s="243">
        <f>G359/F359</f>
        <v>0.17693300532421402</v>
      </c>
    </row>
    <row r="360" spans="1:9" ht="12.75">
      <c r="A360" s="195" t="s">
        <v>422</v>
      </c>
      <c r="B360" s="163"/>
      <c r="C360" s="163"/>
      <c r="D360" s="163"/>
      <c r="E360" s="97"/>
      <c r="F360" s="249"/>
      <c r="G360" s="288">
        <v>6673277</v>
      </c>
      <c r="H360" s="281"/>
      <c r="I360" s="243"/>
    </row>
    <row r="361" spans="1:9" ht="13.5" thickBot="1">
      <c r="A361" s="166" t="s">
        <v>403</v>
      </c>
      <c r="B361" s="166"/>
      <c r="C361" s="166"/>
      <c r="D361" s="166"/>
      <c r="E361" s="235">
        <f>E359+E288+E181+E18</f>
        <v>37757000.197689004</v>
      </c>
      <c r="F361" s="277">
        <f>F359+F288+F181+F18</f>
        <v>39745000</v>
      </c>
      <c r="G361" s="290">
        <f>SUM(G359+G288+G181+G18+G360)</f>
        <v>19692696.96</v>
      </c>
      <c r="H361" s="285">
        <f>F361-G361</f>
        <v>20052303.04</v>
      </c>
      <c r="I361" s="278">
        <f>G361/F361</f>
        <v>0.4954760840357278</v>
      </c>
    </row>
    <row r="362" spans="1:7" ht="13.5" thickTop="1">
      <c r="A362" s="195" t="s">
        <v>424</v>
      </c>
      <c r="G362" s="194"/>
    </row>
    <row r="363" spans="1:7" ht="12.75">
      <c r="A363" s="291" t="s">
        <v>426</v>
      </c>
      <c r="B363" s="292"/>
      <c r="C363" s="292"/>
      <c r="D363" s="292"/>
      <c r="E363" s="292"/>
      <c r="F363" s="292"/>
      <c r="G363" s="193"/>
    </row>
    <row r="364" spans="1:7" ht="12.75">
      <c r="A364" s="292" t="s">
        <v>423</v>
      </c>
      <c r="B364" s="292"/>
      <c r="C364" s="292"/>
      <c r="D364" s="292"/>
      <c r="E364" s="292"/>
      <c r="F364" s="292"/>
      <c r="G364" s="193"/>
    </row>
    <row r="365" spans="1:7" ht="12.75">
      <c r="A365" s="292" t="s">
        <v>427</v>
      </c>
      <c r="B365" s="292"/>
      <c r="C365" s="292"/>
      <c r="D365" s="292"/>
      <c r="E365" s="292"/>
      <c r="F365" s="292"/>
      <c r="G365" s="193"/>
    </row>
    <row r="366" spans="1:7" ht="12.75">
      <c r="A366" s="292" t="s">
        <v>428</v>
      </c>
      <c r="B366" s="292"/>
      <c r="C366" s="292"/>
      <c r="D366" s="292"/>
      <c r="E366" s="292"/>
      <c r="F366" s="292"/>
      <c r="G366" s="193"/>
    </row>
    <row r="367" spans="1:7" ht="12.75">
      <c r="A367" s="292" t="s">
        <v>425</v>
      </c>
      <c r="G367" s="193"/>
    </row>
    <row r="368" ht="12.75">
      <c r="G368" s="193"/>
    </row>
    <row r="369" ht="12.75">
      <c r="G369" s="193"/>
    </row>
    <row r="370" ht="12.75">
      <c r="G370" s="193"/>
    </row>
    <row r="371" ht="12.75">
      <c r="G371" s="193"/>
    </row>
  </sheetData>
  <printOptions gridLines="1"/>
  <pageMargins left="0.75" right="0.75" top="1" bottom="1" header="0.5" footer="0.5"/>
  <pageSetup horizontalDpi="600" verticalDpi="600" orientation="portrait" paperSize="9" scale="75" r:id="rId1"/>
  <rowBreaks count="2" manualBreakCount="2">
    <brk id="75" max="8" man="1"/>
    <brk id="1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Comission On Gender Equality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invocationm</dc:creator>
  <cp:keywords/>
  <dc:description/>
  <cp:lastModifiedBy>User</cp:lastModifiedBy>
  <cp:lastPrinted>2007-11-02T14:20:12Z</cp:lastPrinted>
  <dcterms:created xsi:type="dcterms:W3CDTF">2007-10-19T12:54:51Z</dcterms:created>
  <dcterms:modified xsi:type="dcterms:W3CDTF">2007-11-12T09:37:49Z</dcterms:modified>
  <cp:category/>
  <cp:version/>
  <cp:contentType/>
  <cp:contentStatus/>
</cp:coreProperties>
</file>