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1"/>
  </bookViews>
  <sheets>
    <sheet name="R120K" sheetId="1" r:id="rId1"/>
    <sheet name="R840k" sheetId="2" r:id="rId2"/>
  </sheets>
  <definedNames/>
  <calcPr fullCalcOnLoad="1"/>
</workbook>
</file>

<file path=xl/sharedStrings.xml><?xml version="1.0" encoding="utf-8"?>
<sst xmlns="http://schemas.openxmlformats.org/spreadsheetml/2006/main" count="317" uniqueCount="62">
  <si>
    <t>Total</t>
  </si>
  <si>
    <t>SUMMARY PER PROGRAMME PER SCOA FOR VIREMENT AND AUDIT PURPOSES 20005/06</t>
  </si>
  <si>
    <t>ANNEXURE A</t>
  </si>
  <si>
    <t>DESCRIPTION</t>
  </si>
  <si>
    <t>ORIGINAL</t>
  </si>
  <si>
    <t>ADJUSTMENTS</t>
  </si>
  <si>
    <t>TOTAL</t>
  </si>
  <si>
    <t>VIREMENT</t>
  </si>
  <si>
    <t>EXPENDITURE</t>
  </si>
  <si>
    <t xml:space="preserve">LINEAR </t>
  </si>
  <si>
    <t>PROJECTED</t>
  </si>
  <si>
    <t>SAVING/</t>
  </si>
  <si>
    <t>%</t>
  </si>
  <si>
    <t>BUDGET</t>
  </si>
  <si>
    <t>ESTIMATE</t>
  </si>
  <si>
    <t>ALLOCATION</t>
  </si>
  <si>
    <t>WITHIN</t>
  </si>
  <si>
    <t>BETWEEN</t>
  </si>
  <si>
    <t>TREASURY</t>
  </si>
  <si>
    <t>till 31 Dec 05</t>
  </si>
  <si>
    <t>PROJECTION</t>
  </si>
  <si>
    <t>EXCESS</t>
  </si>
  <si>
    <t>PROG 1: ADMINISTRATION</t>
  </si>
  <si>
    <t>Current payments:</t>
  </si>
  <si>
    <t>Compensation of employees</t>
  </si>
  <si>
    <t>Goods and Services</t>
  </si>
  <si>
    <t>Interest and rent on land</t>
  </si>
  <si>
    <t>Fin Trans in assets &amp; liabilities</t>
  </si>
  <si>
    <t>Unauthorised expenditure</t>
  </si>
  <si>
    <t>Transfers and subsidies to:</t>
  </si>
  <si>
    <t>Prov and municipalities</t>
  </si>
  <si>
    <t>Dept agencies and accounts</t>
  </si>
  <si>
    <t>Forgeign gov. &amp; Inter Org</t>
  </si>
  <si>
    <t>Pu blic corporations and priv enterprises</t>
  </si>
  <si>
    <t>Household</t>
  </si>
  <si>
    <t>Payments for capital assets</t>
  </si>
  <si>
    <t>Buildings and other fixed struc</t>
  </si>
  <si>
    <t>Machinery and equipment</t>
  </si>
  <si>
    <t>Software and oter intangible ass</t>
  </si>
  <si>
    <t>8% Virement limit</t>
  </si>
  <si>
    <t>PROG 2: ADMINISTRATION OF COURTS</t>
  </si>
  <si>
    <t>PROG 3: STATE LEGAL SERVICES</t>
  </si>
  <si>
    <t>PROG 4: NATIONAL PROSECUTION AUTHORITY</t>
  </si>
  <si>
    <t>PROG 5: AUXILIARY AND ASSOCIATED SERVICES</t>
  </si>
  <si>
    <t>Sub TOTAL</t>
  </si>
  <si>
    <t>Statutory Expenditure</t>
  </si>
  <si>
    <t>GRAND TOTAL</t>
  </si>
  <si>
    <t xml:space="preserve">SUMMARY </t>
  </si>
  <si>
    <t>REVISED</t>
  </si>
  <si>
    <t>PROJECED</t>
  </si>
  <si>
    <t>4TH QUARTER</t>
  </si>
  <si>
    <t>EXPENDIURE</t>
  </si>
  <si>
    <t>Thefts and losses written off</t>
  </si>
  <si>
    <t>Regional service council levies</t>
  </si>
  <si>
    <t>Transfers payment</t>
  </si>
  <si>
    <t>International criminal court</t>
  </si>
  <si>
    <t>Leave gratuities</t>
  </si>
  <si>
    <t>trans serv</t>
  </si>
  <si>
    <t>capex</t>
  </si>
  <si>
    <t>dns</t>
  </si>
  <si>
    <t>cctv</t>
  </si>
  <si>
    <t>criman court levy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</si>
</sst>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0"/>
    </font>
    <font>
      <sz val="9"/>
      <name val="Verdan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37" fontId="0" fillId="0" borderId="0" xfId="0" applyNumberFormat="1" applyFont="1" applyAlignment="1">
      <alignment/>
    </xf>
    <xf numFmtId="0" fontId="3" fillId="0" borderId="0" xfId="0" applyFont="1" applyAlignment="1">
      <alignment/>
    </xf>
    <xf numFmtId="10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10" fontId="4" fillId="0" borderId="3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10" fontId="1" fillId="0" borderId="6" xfId="0" applyNumberFormat="1" applyFont="1" applyFill="1" applyBorder="1" applyAlignment="1">
      <alignment/>
    </xf>
    <xf numFmtId="0" fontId="1" fillId="0" borderId="7" xfId="0" applyFont="1" applyBorder="1" applyAlignment="1">
      <alignment/>
    </xf>
    <xf numFmtId="37" fontId="0" fillId="0" borderId="7" xfId="0" applyNumberFormat="1" applyBorder="1" applyAlignment="1">
      <alignment/>
    </xf>
    <xf numFmtId="37" fontId="0" fillId="2" borderId="7" xfId="0" applyNumberFormat="1" applyFill="1" applyBorder="1" applyAlignment="1">
      <alignment/>
    </xf>
    <xf numFmtId="37" fontId="0" fillId="0" borderId="7" xfId="0" applyNumberFormat="1" applyFill="1" applyBorder="1" applyAlignment="1">
      <alignment/>
    </xf>
    <xf numFmtId="10" fontId="0" fillId="0" borderId="8" xfId="0" applyNumberFormat="1" applyBorder="1" applyAlignment="1">
      <alignment/>
    </xf>
    <xf numFmtId="37" fontId="1" fillId="0" borderId="7" xfId="0" applyNumberFormat="1" applyFont="1" applyBorder="1" applyAlignment="1">
      <alignment/>
    </xf>
    <xf numFmtId="37" fontId="1" fillId="0" borderId="7" xfId="0" applyNumberFormat="1" applyFont="1" applyFill="1" applyBorder="1" applyAlignment="1">
      <alignment/>
    </xf>
    <xf numFmtId="10" fontId="0" fillId="0" borderId="8" xfId="0" applyNumberFormat="1" applyFont="1" applyBorder="1" applyAlignment="1">
      <alignment/>
    </xf>
    <xf numFmtId="0" fontId="0" fillId="0" borderId="7" xfId="0" applyFont="1" applyBorder="1" applyAlignment="1">
      <alignment/>
    </xf>
    <xf numFmtId="3" fontId="5" fillId="0" borderId="0" xfId="0" applyNumberFormat="1" applyFont="1" applyAlignment="1">
      <alignment wrapText="1"/>
    </xf>
    <xf numFmtId="37" fontId="0" fillId="0" borderId="7" xfId="0" applyNumberFormat="1" applyFont="1" applyBorder="1" applyAlignment="1">
      <alignment/>
    </xf>
    <xf numFmtId="37" fontId="0" fillId="2" borderId="7" xfId="0" applyNumberFormat="1" applyFont="1" applyFill="1" applyBorder="1" applyAlignment="1">
      <alignment/>
    </xf>
    <xf numFmtId="37" fontId="0" fillId="0" borderId="7" xfId="0" applyNumberFormat="1" applyFont="1" applyFill="1" applyBorder="1" applyAlignment="1">
      <alignment/>
    </xf>
    <xf numFmtId="0" fontId="0" fillId="0" borderId="0" xfId="0" applyFont="1" applyAlignment="1">
      <alignment/>
    </xf>
    <xf numFmtId="37" fontId="1" fillId="0" borderId="0" xfId="0" applyNumberFormat="1" applyFont="1" applyAlignment="1">
      <alignment/>
    </xf>
    <xf numFmtId="0" fontId="1" fillId="0" borderId="9" xfId="0" applyFont="1" applyBorder="1" applyAlignment="1">
      <alignment/>
    </xf>
    <xf numFmtId="37" fontId="1" fillId="0" borderId="9" xfId="0" applyNumberFormat="1" applyFont="1" applyBorder="1" applyAlignment="1">
      <alignment/>
    </xf>
    <xf numFmtId="37" fontId="1" fillId="0" borderId="9" xfId="0" applyNumberFormat="1" applyFont="1" applyFill="1" applyBorder="1" applyAlignment="1">
      <alignment/>
    </xf>
    <xf numFmtId="10" fontId="1" fillId="0" borderId="10" xfId="0" applyNumberFormat="1" applyFont="1" applyBorder="1" applyAlignment="1">
      <alignment/>
    </xf>
    <xf numFmtId="0" fontId="6" fillId="0" borderId="7" xfId="0" applyFont="1" applyBorder="1" applyAlignment="1">
      <alignment/>
    </xf>
    <xf numFmtId="37" fontId="2" fillId="0" borderId="7" xfId="0" applyNumberFormat="1" applyFont="1" applyBorder="1" applyAlignment="1">
      <alignment/>
    </xf>
    <xf numFmtId="37" fontId="2" fillId="0" borderId="7" xfId="0" applyNumberFormat="1" applyFont="1" applyFill="1" applyBorder="1" applyAlignment="1">
      <alignment/>
    </xf>
    <xf numFmtId="37" fontId="2" fillId="2" borderId="7" xfId="0" applyNumberFormat="1" applyFont="1" applyFill="1" applyBorder="1" applyAlignment="1">
      <alignment/>
    </xf>
    <xf numFmtId="10" fontId="2" fillId="0" borderId="8" xfId="0" applyNumberFormat="1" applyFont="1" applyBorder="1" applyAlignment="1">
      <alignment/>
    </xf>
    <xf numFmtId="0" fontId="1" fillId="0" borderId="0" xfId="0" applyFont="1" applyBorder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Fill="1" applyBorder="1" applyAlignment="1">
      <alignment/>
    </xf>
    <xf numFmtId="37" fontId="0" fillId="2" borderId="0" xfId="0" applyNumberFormat="1" applyFill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7" fontId="0" fillId="3" borderId="7" xfId="0" applyNumberFormat="1" applyFont="1" applyFill="1" applyBorder="1" applyAlignment="1">
      <alignment/>
    </xf>
    <xf numFmtId="10" fontId="1" fillId="0" borderId="8" xfId="0" applyNumberFormat="1" applyFont="1" applyBorder="1" applyAlignment="1">
      <alignment/>
    </xf>
    <xf numFmtId="10" fontId="0" fillId="0" borderId="0" xfId="19" applyNumberFormat="1" applyAlignment="1">
      <alignment/>
    </xf>
    <xf numFmtId="0" fontId="6" fillId="0" borderId="11" xfId="0" applyFont="1" applyBorder="1" applyAlignment="1">
      <alignment/>
    </xf>
    <xf numFmtId="37" fontId="2" fillId="0" borderId="11" xfId="0" applyNumberFormat="1" applyFont="1" applyBorder="1" applyAlignment="1">
      <alignment/>
    </xf>
    <xf numFmtId="37" fontId="2" fillId="0" borderId="11" xfId="0" applyNumberFormat="1" applyFont="1" applyFill="1" applyBorder="1" applyAlignment="1">
      <alignment/>
    </xf>
    <xf numFmtId="37" fontId="2" fillId="2" borderId="11" xfId="0" applyNumberFormat="1" applyFont="1" applyFill="1" applyBorder="1" applyAlignment="1">
      <alignment/>
    </xf>
    <xf numFmtId="10" fontId="2" fillId="0" borderId="12" xfId="0" applyNumberFormat="1" applyFont="1" applyBorder="1" applyAlignment="1">
      <alignment/>
    </xf>
    <xf numFmtId="0" fontId="0" fillId="3" borderId="0" xfId="0" applyFill="1" applyAlignment="1">
      <alignment/>
    </xf>
    <xf numFmtId="0" fontId="1" fillId="3" borderId="2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37" fontId="0" fillId="3" borderId="7" xfId="0" applyNumberFormat="1" applyFill="1" applyBorder="1" applyAlignment="1">
      <alignment/>
    </xf>
    <xf numFmtId="37" fontId="1" fillId="3" borderId="7" xfId="0" applyNumberFormat="1" applyFont="1" applyFill="1" applyBorder="1" applyAlignment="1">
      <alignment/>
    </xf>
    <xf numFmtId="37" fontId="1" fillId="3" borderId="9" xfId="0" applyNumberFormat="1" applyFont="1" applyFill="1" applyBorder="1" applyAlignment="1">
      <alignment/>
    </xf>
    <xf numFmtId="37" fontId="2" fillId="3" borderId="7" xfId="0" applyNumberFormat="1" applyFont="1" applyFill="1" applyBorder="1" applyAlignment="1">
      <alignment/>
    </xf>
    <xf numFmtId="37" fontId="0" fillId="3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workbookViewId="0" topLeftCell="A1">
      <selection activeCell="C33" sqref="C33"/>
    </sheetView>
  </sheetViews>
  <sheetFormatPr defaultColWidth="9.140625" defaultRowHeight="12.75"/>
  <cols>
    <col min="1" max="1" width="36.57421875" style="0" customWidth="1"/>
    <col min="2" max="7" width="19.8515625" style="0" customWidth="1"/>
    <col min="8" max="8" width="19.8515625" style="2" customWidth="1"/>
    <col min="9" max="9" width="19.8515625" style="0" customWidth="1"/>
    <col min="10" max="15" width="19.8515625" style="2" customWidth="1"/>
    <col min="16" max="16" width="19.8515625" style="0" customWidth="1"/>
    <col min="17" max="17" width="19.8515625" style="49" customWidth="1"/>
    <col min="18" max="18" width="16.00390625" style="0" bestFit="1" customWidth="1"/>
    <col min="19" max="19" width="11.7109375" style="0" bestFit="1" customWidth="1"/>
  </cols>
  <sheetData>
    <row r="1" spans="1:17" ht="18">
      <c r="A1" s="5" t="s">
        <v>1</v>
      </c>
      <c r="P1" s="1" t="s">
        <v>2</v>
      </c>
      <c r="Q1" s="6"/>
    </row>
    <row r="2" ht="12.75">
      <c r="Q2" s="6"/>
    </row>
    <row r="3" spans="1:17" ht="15.7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7</v>
      </c>
      <c r="G3" s="9" t="s">
        <v>7</v>
      </c>
      <c r="H3" s="10" t="s">
        <v>7</v>
      </c>
      <c r="I3" s="8" t="s">
        <v>6</v>
      </c>
      <c r="J3" s="10" t="s">
        <v>8</v>
      </c>
      <c r="K3" s="8" t="s">
        <v>7</v>
      </c>
      <c r="L3" s="8" t="s">
        <v>7</v>
      </c>
      <c r="M3" s="8" t="s">
        <v>48</v>
      </c>
      <c r="N3" s="10" t="s">
        <v>49</v>
      </c>
      <c r="O3" s="10" t="s">
        <v>10</v>
      </c>
      <c r="P3" s="8" t="s">
        <v>11</v>
      </c>
      <c r="Q3" s="11" t="s">
        <v>12</v>
      </c>
    </row>
    <row r="4" spans="1:17" ht="15.75">
      <c r="A4" s="7"/>
      <c r="B4" s="8" t="s">
        <v>13</v>
      </c>
      <c r="C4" s="8" t="s">
        <v>14</v>
      </c>
      <c r="D4" s="8" t="s">
        <v>15</v>
      </c>
      <c r="E4" s="8" t="s">
        <v>16</v>
      </c>
      <c r="F4" s="8" t="s">
        <v>17</v>
      </c>
      <c r="G4" s="9" t="s">
        <v>18</v>
      </c>
      <c r="H4" s="10" t="s">
        <v>6</v>
      </c>
      <c r="I4" s="8" t="s">
        <v>13</v>
      </c>
      <c r="J4" s="10" t="s">
        <v>19</v>
      </c>
      <c r="K4" s="8" t="s">
        <v>16</v>
      </c>
      <c r="L4" s="8" t="s">
        <v>17</v>
      </c>
      <c r="M4" s="8" t="s">
        <v>13</v>
      </c>
      <c r="N4" s="10" t="s">
        <v>50</v>
      </c>
      <c r="O4" s="10" t="s">
        <v>6</v>
      </c>
      <c r="P4" s="8" t="s">
        <v>21</v>
      </c>
      <c r="Q4" s="11"/>
    </row>
    <row r="5" spans="1:17" ht="13.5" thickBot="1">
      <c r="A5" s="12"/>
      <c r="B5" s="13"/>
      <c r="C5" s="13"/>
      <c r="D5" s="13"/>
      <c r="E5" s="13"/>
      <c r="F5" s="13"/>
      <c r="G5" s="14"/>
      <c r="H5" s="15"/>
      <c r="I5" s="13"/>
      <c r="J5" s="15"/>
      <c r="K5" s="15"/>
      <c r="L5" s="15"/>
      <c r="M5" s="15"/>
      <c r="N5" s="15" t="s">
        <v>51</v>
      </c>
      <c r="O5" s="15" t="s">
        <v>8</v>
      </c>
      <c r="P5" s="13"/>
      <c r="Q5" s="16"/>
    </row>
    <row r="6" spans="1:17" ht="13.5" thickTop="1">
      <c r="A6" s="17" t="s">
        <v>22</v>
      </c>
      <c r="B6" s="18"/>
      <c r="C6" s="18"/>
      <c r="D6" s="18"/>
      <c r="E6" s="18"/>
      <c r="F6" s="18"/>
      <c r="G6" s="19"/>
      <c r="H6" s="20"/>
      <c r="I6" s="18"/>
      <c r="J6" s="20"/>
      <c r="K6" s="20"/>
      <c r="L6" s="20"/>
      <c r="M6" s="20"/>
      <c r="N6" s="20"/>
      <c r="O6" s="20"/>
      <c r="P6" s="18"/>
      <c r="Q6" s="21"/>
    </row>
    <row r="7" spans="1:17" s="1" customFormat="1" ht="12.75">
      <c r="A7" s="17" t="s">
        <v>23</v>
      </c>
      <c r="B7" s="22">
        <f aca="true" t="shared" si="0" ref="B7:P7">SUM(B8:B10)</f>
        <v>361818000</v>
      </c>
      <c r="C7" s="22">
        <f t="shared" si="0"/>
        <v>16721000</v>
      </c>
      <c r="D7" s="22">
        <f t="shared" si="0"/>
        <v>378539000</v>
      </c>
      <c r="E7" s="22">
        <f t="shared" si="0"/>
        <v>0</v>
      </c>
      <c r="F7" s="22">
        <f t="shared" si="0"/>
        <v>0</v>
      </c>
      <c r="G7" s="22">
        <f t="shared" si="0"/>
        <v>0</v>
      </c>
      <c r="H7" s="23">
        <f t="shared" si="0"/>
        <v>0</v>
      </c>
      <c r="I7" s="22">
        <f t="shared" si="0"/>
        <v>378539000</v>
      </c>
      <c r="J7" s="22">
        <f t="shared" si="0"/>
        <v>232534026</v>
      </c>
      <c r="K7" s="22">
        <f t="shared" si="0"/>
        <v>0</v>
      </c>
      <c r="L7" s="22">
        <f t="shared" si="0"/>
        <v>0</v>
      </c>
      <c r="M7" s="22">
        <f t="shared" si="0"/>
        <v>378539000</v>
      </c>
      <c r="N7" s="22">
        <f t="shared" si="0"/>
        <v>138560242</v>
      </c>
      <c r="O7" s="22">
        <f t="shared" si="0"/>
        <v>371094267.99999994</v>
      </c>
      <c r="P7" s="22">
        <f t="shared" si="0"/>
        <v>7444732.00000001</v>
      </c>
      <c r="Q7" s="24">
        <f aca="true" t="shared" si="1" ref="Q7:Q19">SUM(P7/I7)</f>
        <v>0.019667014495203954</v>
      </c>
    </row>
    <row r="8" spans="1:17" s="30" customFormat="1" ht="12.75">
      <c r="A8" s="25" t="s">
        <v>24</v>
      </c>
      <c r="B8" s="26">
        <v>152669000</v>
      </c>
      <c r="C8" s="27">
        <v>6347000</v>
      </c>
      <c r="D8" s="27">
        <f>SUM(B8:C8)</f>
        <v>159016000</v>
      </c>
      <c r="E8" s="27"/>
      <c r="F8" s="27"/>
      <c r="G8" s="28"/>
      <c r="H8" s="29">
        <f>SUM(E8:G8)</f>
        <v>0</v>
      </c>
      <c r="I8" s="27">
        <f>SUM(D8+H8)</f>
        <v>159016000</v>
      </c>
      <c r="J8" s="29">
        <f>113614829+63622</f>
        <v>113678451</v>
      </c>
      <c r="K8" s="29"/>
      <c r="L8" s="29"/>
      <c r="M8" s="29">
        <f>I8+K8+L8</f>
        <v>159016000</v>
      </c>
      <c r="N8" s="29">
        <f>+J8/9*3</f>
        <v>37892817</v>
      </c>
      <c r="O8" s="29">
        <f>+N8+J8</f>
        <v>151571268</v>
      </c>
      <c r="P8" s="27">
        <f>M8-O8</f>
        <v>7444732</v>
      </c>
      <c r="Q8" s="24">
        <f t="shared" si="1"/>
        <v>0.046817502641243645</v>
      </c>
    </row>
    <row r="9" spans="1:17" s="30" customFormat="1" ht="12.75">
      <c r="A9" s="25" t="s">
        <v>25</v>
      </c>
      <c r="B9" s="26">
        <v>209149000</v>
      </c>
      <c r="C9" s="27">
        <f>3474000+6900000</f>
        <v>10374000</v>
      </c>
      <c r="D9" s="27">
        <f>SUM(B9:C9)</f>
        <v>219523000</v>
      </c>
      <c r="E9" s="27">
        <v>-463681</v>
      </c>
      <c r="F9" s="27"/>
      <c r="G9" s="28"/>
      <c r="H9" s="29">
        <f>SUM(E9:G9)</f>
        <v>-463681</v>
      </c>
      <c r="I9" s="27">
        <f>SUM(D9+H9)</f>
        <v>219059319</v>
      </c>
      <c r="J9" s="29">
        <f>118507619+195</f>
        <v>118507814</v>
      </c>
      <c r="K9" s="29"/>
      <c r="L9" s="29"/>
      <c r="M9" s="29">
        <f>I9+K9+L9</f>
        <v>219059319</v>
      </c>
      <c r="N9" s="29">
        <f>+J9/9*3+20000000+41048900</f>
        <v>100551504.66666666</v>
      </c>
      <c r="O9" s="29">
        <f>+N9+J9</f>
        <v>219059318.66666666</v>
      </c>
      <c r="P9" s="27">
        <f>M9-O9</f>
        <v>0.3333333432674408</v>
      </c>
      <c r="Q9" s="24">
        <f t="shared" si="1"/>
        <v>1.5216578997373803E-09</v>
      </c>
    </row>
    <row r="10" spans="1:17" s="30" customFormat="1" ht="12.75">
      <c r="A10" s="25" t="s">
        <v>52</v>
      </c>
      <c r="B10" s="27"/>
      <c r="C10" s="27"/>
      <c r="D10" s="27">
        <f>SUM(B10:C10)</f>
        <v>0</v>
      </c>
      <c r="E10" s="27">
        <v>463681</v>
      </c>
      <c r="F10" s="27"/>
      <c r="G10" s="28"/>
      <c r="H10" s="29">
        <f>SUM(E10:G10)</f>
        <v>463681</v>
      </c>
      <c r="I10" s="27">
        <f>SUM(D10+H10)</f>
        <v>463681</v>
      </c>
      <c r="J10" s="29">
        <f>19761+328000</f>
        <v>347761</v>
      </c>
      <c r="K10" s="29"/>
      <c r="L10" s="29"/>
      <c r="M10" s="29">
        <f>I10+K10+L10</f>
        <v>463681</v>
      </c>
      <c r="N10" s="29">
        <f>+J10/9*3</f>
        <v>115920.33333333333</v>
      </c>
      <c r="O10" s="29">
        <f>+N10+J10</f>
        <v>463681.3333333333</v>
      </c>
      <c r="P10" s="27">
        <f>M10-O10</f>
        <v>-0.3333333333139308</v>
      </c>
      <c r="Q10" s="24">
        <f t="shared" si="1"/>
        <v>-7.188850380195237E-07</v>
      </c>
    </row>
    <row r="11" spans="1:17" s="1" customFormat="1" ht="12.75">
      <c r="A11" s="17" t="s">
        <v>29</v>
      </c>
      <c r="B11" s="22">
        <f aca="true" t="shared" si="2" ref="B11:P11">SUM(B12:B15)</f>
        <v>3646000</v>
      </c>
      <c r="C11" s="22">
        <f t="shared" si="2"/>
        <v>3000</v>
      </c>
      <c r="D11" s="22">
        <f t="shared" si="2"/>
        <v>3649000</v>
      </c>
      <c r="E11" s="22">
        <f t="shared" si="2"/>
        <v>0</v>
      </c>
      <c r="F11" s="22">
        <f t="shared" si="2"/>
        <v>0</v>
      </c>
      <c r="G11" s="22">
        <f t="shared" si="2"/>
        <v>0</v>
      </c>
      <c r="H11" s="23">
        <f t="shared" si="2"/>
        <v>0</v>
      </c>
      <c r="I11" s="22">
        <f t="shared" si="2"/>
        <v>3649000</v>
      </c>
      <c r="J11" s="22">
        <f t="shared" si="2"/>
        <v>553468</v>
      </c>
      <c r="K11" s="22">
        <f t="shared" si="2"/>
        <v>0</v>
      </c>
      <c r="L11" s="22">
        <f t="shared" si="2"/>
        <v>0</v>
      </c>
      <c r="M11" s="22">
        <f t="shared" si="2"/>
        <v>3649000</v>
      </c>
      <c r="N11" s="22">
        <f t="shared" si="2"/>
        <v>184489.3333333333</v>
      </c>
      <c r="O11" s="22">
        <f t="shared" si="2"/>
        <v>737957.3333333333</v>
      </c>
      <c r="P11" s="22">
        <f t="shared" si="2"/>
        <v>2911042.666666667</v>
      </c>
      <c r="Q11" s="24">
        <f t="shared" si="1"/>
        <v>0.7977645016899608</v>
      </c>
    </row>
    <row r="12" spans="1:17" s="30" customFormat="1" ht="12.75">
      <c r="A12" s="25" t="s">
        <v>53</v>
      </c>
      <c r="B12" s="27">
        <v>360000</v>
      </c>
      <c r="C12" s="27">
        <v>3000</v>
      </c>
      <c r="D12" s="27">
        <f>SUM(B12:C12)</f>
        <v>363000</v>
      </c>
      <c r="E12" s="27">
        <v>108739</v>
      </c>
      <c r="G12" s="28"/>
      <c r="H12" s="29">
        <f>SUM(E12:G12)</f>
        <v>108739</v>
      </c>
      <c r="I12" s="27">
        <f aca="true" t="shared" si="3" ref="I12:I19">SUM(D12+H12)</f>
        <v>471739</v>
      </c>
      <c r="J12" s="29">
        <v>353804</v>
      </c>
      <c r="K12" s="29"/>
      <c r="L12" s="29"/>
      <c r="M12" s="29">
        <f>I12+K12+L12</f>
        <v>471739</v>
      </c>
      <c r="N12" s="29">
        <f>+J12/9*3</f>
        <v>117934.66666666666</v>
      </c>
      <c r="O12" s="29">
        <f>+N12+J12</f>
        <v>471738.6666666666</v>
      </c>
      <c r="P12" s="27">
        <f>M12-O12</f>
        <v>0.33333333337213844</v>
      </c>
      <c r="Q12" s="24">
        <f>SUM(P12/I12)</f>
        <v>7.066054181912847E-07</v>
      </c>
    </row>
    <row r="13" spans="1:17" s="30" customFormat="1" ht="12.75">
      <c r="A13" s="25" t="s">
        <v>54</v>
      </c>
      <c r="B13" s="27">
        <v>3286000</v>
      </c>
      <c r="C13" s="27"/>
      <c r="D13" s="27">
        <f>SUM(B13:C13)</f>
        <v>3286000</v>
      </c>
      <c r="E13" s="30">
        <v>-374958</v>
      </c>
      <c r="G13" s="28"/>
      <c r="H13" s="29">
        <f>SUM(E13:G13)</f>
        <v>-374958</v>
      </c>
      <c r="I13" s="27">
        <f t="shared" si="3"/>
        <v>2911042</v>
      </c>
      <c r="J13" s="29"/>
      <c r="K13" s="29"/>
      <c r="L13" s="29"/>
      <c r="M13" s="29">
        <f>I13+K13+L13</f>
        <v>2911042</v>
      </c>
      <c r="N13" s="29">
        <f>+J13/9*3</f>
        <v>0</v>
      </c>
      <c r="O13" s="29">
        <f>+N13+J13</f>
        <v>0</v>
      </c>
      <c r="P13" s="27">
        <f>M13-O13</f>
        <v>2911042</v>
      </c>
      <c r="Q13" s="24">
        <f t="shared" si="1"/>
        <v>1</v>
      </c>
    </row>
    <row r="14" spans="1:17" s="30" customFormat="1" ht="12.75">
      <c r="A14" s="25" t="s">
        <v>55</v>
      </c>
      <c r="B14" s="27">
        <v>0</v>
      </c>
      <c r="C14" s="27"/>
      <c r="D14" s="27">
        <f aca="true" t="shared" si="4" ref="D14:D19">SUM(B14:C14)</f>
        <v>0</v>
      </c>
      <c r="E14" s="27"/>
      <c r="G14" s="28"/>
      <c r="H14" s="29">
        <f>SUM(E14:G14)</f>
        <v>0</v>
      </c>
      <c r="I14" s="27">
        <f t="shared" si="3"/>
        <v>0</v>
      </c>
      <c r="J14" s="29"/>
      <c r="K14" s="29"/>
      <c r="L14" s="29"/>
      <c r="M14" s="29">
        <f>I14+K14+L14</f>
        <v>0</v>
      </c>
      <c r="N14" s="29">
        <f>+J14/9*3</f>
        <v>0</v>
      </c>
      <c r="O14" s="29">
        <f>+N14+J14</f>
        <v>0</v>
      </c>
      <c r="P14" s="27">
        <f>M14-O14</f>
        <v>0</v>
      </c>
      <c r="Q14" s="24" t="e">
        <f t="shared" si="1"/>
        <v>#DIV/0!</v>
      </c>
    </row>
    <row r="15" spans="1:18" s="30" customFormat="1" ht="12.75">
      <c r="A15" s="25" t="s">
        <v>56</v>
      </c>
      <c r="B15" s="27">
        <v>0</v>
      </c>
      <c r="C15" s="27"/>
      <c r="D15" s="27">
        <f t="shared" si="4"/>
        <v>0</v>
      </c>
      <c r="E15" s="27">
        <v>266219</v>
      </c>
      <c r="F15" s="27"/>
      <c r="G15" s="28"/>
      <c r="H15" s="29">
        <f>SUM(E15:G15)</f>
        <v>266219</v>
      </c>
      <c r="I15" s="27">
        <f t="shared" si="3"/>
        <v>266219</v>
      </c>
      <c r="J15" s="29">
        <v>199664</v>
      </c>
      <c r="K15" s="29"/>
      <c r="L15" s="29"/>
      <c r="M15" s="29">
        <f>I15+K15+L15</f>
        <v>266219</v>
      </c>
      <c r="N15" s="29">
        <f>+J15/9*3</f>
        <v>66554.66666666667</v>
      </c>
      <c r="O15" s="29">
        <f>+N15+J15</f>
        <v>266218.6666666667</v>
      </c>
      <c r="P15" s="27">
        <f>M15-O15</f>
        <v>0.3333333333139308</v>
      </c>
      <c r="Q15" s="24">
        <f t="shared" si="1"/>
        <v>1.2521019661028355E-06</v>
      </c>
      <c r="R15" s="4"/>
    </row>
    <row r="16" spans="1:18" s="1" customFormat="1" ht="12.75">
      <c r="A16" s="17" t="s">
        <v>35</v>
      </c>
      <c r="B16" s="22">
        <f aca="true" t="shared" si="5" ref="B16:P16">SUM(B17:B19)</f>
        <v>15319000</v>
      </c>
      <c r="C16" s="22">
        <f t="shared" si="5"/>
        <v>-8228000</v>
      </c>
      <c r="D16" s="22">
        <f t="shared" si="5"/>
        <v>7091000</v>
      </c>
      <c r="E16" s="22">
        <f t="shared" si="5"/>
        <v>0</v>
      </c>
      <c r="F16" s="22">
        <f t="shared" si="5"/>
        <v>487530</v>
      </c>
      <c r="G16" s="22">
        <f t="shared" si="5"/>
        <v>0</v>
      </c>
      <c r="H16" s="23">
        <f t="shared" si="5"/>
        <v>487530</v>
      </c>
      <c r="I16" s="22">
        <f t="shared" si="5"/>
        <v>7578530</v>
      </c>
      <c r="J16" s="22">
        <f t="shared" si="5"/>
        <v>5683898</v>
      </c>
      <c r="K16" s="22">
        <f>SUM(K17:K19)</f>
        <v>0</v>
      </c>
      <c r="L16" s="22">
        <f>SUM(L17:L19)</f>
        <v>0</v>
      </c>
      <c r="M16" s="22">
        <f>SUM(M17:M19)</f>
        <v>7578530</v>
      </c>
      <c r="N16" s="22">
        <f t="shared" si="5"/>
        <v>1894632.6666666665</v>
      </c>
      <c r="O16" s="22">
        <f t="shared" si="5"/>
        <v>7578530.666666666</v>
      </c>
      <c r="P16" s="22">
        <f t="shared" si="5"/>
        <v>-0.6666666665987577</v>
      </c>
      <c r="Q16" s="24">
        <f t="shared" si="1"/>
        <v>-8.796780729227933E-08</v>
      </c>
      <c r="R16" s="31"/>
    </row>
    <row r="17" spans="1:17" s="30" customFormat="1" ht="12.75">
      <c r="A17" s="25" t="s">
        <v>36</v>
      </c>
      <c r="B17" s="27">
        <v>0</v>
      </c>
      <c r="C17" s="27"/>
      <c r="D17" s="27">
        <f t="shared" si="4"/>
        <v>0</v>
      </c>
      <c r="E17" s="27"/>
      <c r="F17" s="27">
        <v>1441985</v>
      </c>
      <c r="G17" s="28"/>
      <c r="H17" s="29">
        <f>SUM(E17:G17)</f>
        <v>1441985</v>
      </c>
      <c r="I17" s="27">
        <f t="shared" si="3"/>
        <v>1441985</v>
      </c>
      <c r="J17" s="29">
        <v>1081489</v>
      </c>
      <c r="K17" s="29"/>
      <c r="L17" s="29"/>
      <c r="M17" s="29">
        <f>I17+K17+L17</f>
        <v>1441985</v>
      </c>
      <c r="N17" s="29">
        <f>+J17/9*3</f>
        <v>360496.3333333333</v>
      </c>
      <c r="O17" s="29">
        <f>+N17+J17</f>
        <v>1441985.3333333333</v>
      </c>
      <c r="P17" s="27">
        <f>M17-O17</f>
        <v>-0.3333333332557231</v>
      </c>
      <c r="Q17" s="24">
        <f t="shared" si="1"/>
        <v>-2.3116282988777492E-07</v>
      </c>
    </row>
    <row r="18" spans="1:17" s="30" customFormat="1" ht="12.75">
      <c r="A18" s="25" t="s">
        <v>37</v>
      </c>
      <c r="B18" s="27">
        <v>13778000</v>
      </c>
      <c r="C18" s="27">
        <f>-8338000+100000</f>
        <v>-8238000</v>
      </c>
      <c r="D18" s="27">
        <f t="shared" si="4"/>
        <v>5540000</v>
      </c>
      <c r="E18" s="27"/>
      <c r="F18" s="27">
        <v>441360</v>
      </c>
      <c r="G18" s="28"/>
      <c r="H18" s="29">
        <f>SUM(E18:G18)</f>
        <v>441360</v>
      </c>
      <c r="I18" s="27">
        <f t="shared" si="3"/>
        <v>5981360</v>
      </c>
      <c r="J18" s="29">
        <v>4486020</v>
      </c>
      <c r="K18" s="29"/>
      <c r="L18" s="29"/>
      <c r="M18" s="29">
        <f>I18+K18+L18</f>
        <v>5981360</v>
      </c>
      <c r="N18" s="29">
        <f>+J18/9*3</f>
        <v>1495340</v>
      </c>
      <c r="O18" s="29">
        <f>+N18+J18</f>
        <v>5981360</v>
      </c>
      <c r="P18" s="27">
        <f>M18-O18</f>
        <v>0</v>
      </c>
      <c r="Q18" s="24">
        <f t="shared" si="1"/>
        <v>0</v>
      </c>
    </row>
    <row r="19" spans="1:17" s="30" customFormat="1" ht="12.75">
      <c r="A19" s="25" t="s">
        <v>38</v>
      </c>
      <c r="B19" s="27">
        <v>1541000</v>
      </c>
      <c r="C19" s="27">
        <v>10000</v>
      </c>
      <c r="D19" s="27">
        <f t="shared" si="4"/>
        <v>1551000</v>
      </c>
      <c r="E19" s="27"/>
      <c r="F19" s="27">
        <v>-1395815</v>
      </c>
      <c r="G19" s="28"/>
      <c r="H19" s="29">
        <f>SUM(E19:G19)</f>
        <v>-1395815</v>
      </c>
      <c r="I19" s="27">
        <f t="shared" si="3"/>
        <v>155185</v>
      </c>
      <c r="J19" s="29">
        <v>116389</v>
      </c>
      <c r="K19" s="29"/>
      <c r="L19" s="29"/>
      <c r="M19" s="29">
        <f>I19+K19+L19</f>
        <v>155185</v>
      </c>
      <c r="N19" s="29">
        <f>+J19/9*3</f>
        <v>38796.333333333336</v>
      </c>
      <c r="O19" s="29">
        <f>+N19+J19</f>
        <v>155185.33333333334</v>
      </c>
      <c r="P19" s="27">
        <f>M19-O19</f>
        <v>-0.3333333333430346</v>
      </c>
      <c r="Q19" s="24">
        <f t="shared" si="1"/>
        <v>-2.147973923659082E-06</v>
      </c>
    </row>
    <row r="20" spans="1:17" s="1" customFormat="1" ht="13.5" thickBot="1">
      <c r="A20" s="32" t="s">
        <v>0</v>
      </c>
      <c r="B20" s="33">
        <f aca="true" t="shared" si="6" ref="B20:P20">+B16+B11+B7</f>
        <v>380783000</v>
      </c>
      <c r="C20" s="33">
        <f t="shared" si="6"/>
        <v>8496000</v>
      </c>
      <c r="D20" s="33">
        <f t="shared" si="6"/>
        <v>389279000</v>
      </c>
      <c r="E20" s="33">
        <f t="shared" si="6"/>
        <v>0</v>
      </c>
      <c r="F20" s="33">
        <f t="shared" si="6"/>
        <v>487530</v>
      </c>
      <c r="G20" s="33">
        <f t="shared" si="6"/>
        <v>0</v>
      </c>
      <c r="H20" s="34">
        <f t="shared" si="6"/>
        <v>487530</v>
      </c>
      <c r="I20" s="33">
        <f t="shared" si="6"/>
        <v>389766530</v>
      </c>
      <c r="J20" s="34">
        <f t="shared" si="6"/>
        <v>238771392</v>
      </c>
      <c r="K20" s="34">
        <f t="shared" si="6"/>
        <v>0</v>
      </c>
      <c r="L20" s="34">
        <f t="shared" si="6"/>
        <v>0</v>
      </c>
      <c r="M20" s="34">
        <f t="shared" si="6"/>
        <v>389766530</v>
      </c>
      <c r="N20" s="34">
        <f t="shared" si="6"/>
        <v>140639364</v>
      </c>
      <c r="O20" s="34">
        <f t="shared" si="6"/>
        <v>379410755.99999994</v>
      </c>
      <c r="P20" s="34">
        <f t="shared" si="6"/>
        <v>10355774.000000011</v>
      </c>
      <c r="Q20" s="35">
        <f>SUM(P20/I20)</f>
        <v>0.02656917206308097</v>
      </c>
    </row>
    <row r="21" spans="1:17" s="3" customFormat="1" ht="13.5" thickTop="1">
      <c r="A21" s="36" t="s">
        <v>39</v>
      </c>
      <c r="B21" s="37"/>
      <c r="C21" s="37"/>
      <c r="D21" s="37">
        <f>ROUND((+D20*0.08),-3)</f>
        <v>31142000</v>
      </c>
      <c r="E21" s="37"/>
      <c r="F21" s="38"/>
      <c r="G21" s="39"/>
      <c r="H21" s="38"/>
      <c r="I21" s="37"/>
      <c r="J21" s="38"/>
      <c r="K21" s="38"/>
      <c r="L21" s="38"/>
      <c r="M21" s="38"/>
      <c r="N21" s="38"/>
      <c r="O21" s="38"/>
      <c r="P21" s="37"/>
      <c r="Q21" s="40"/>
    </row>
    <row r="22" spans="1:17" s="3" customFormat="1" ht="12.75">
      <c r="A22" s="36"/>
      <c r="B22" s="37"/>
      <c r="C22" s="37"/>
      <c r="D22" s="37"/>
      <c r="E22" s="37"/>
      <c r="F22" s="38"/>
      <c r="G22" s="39"/>
      <c r="H22" s="38"/>
      <c r="I22" s="37"/>
      <c r="J22" s="38"/>
      <c r="K22" s="38"/>
      <c r="L22" s="38"/>
      <c r="M22" s="38"/>
      <c r="N22" s="38"/>
      <c r="O22" s="38"/>
      <c r="P22" s="37"/>
      <c r="Q22" s="40"/>
    </row>
    <row r="23" spans="1:17" ht="12.75">
      <c r="A23" s="17" t="s">
        <v>40</v>
      </c>
      <c r="B23" s="18"/>
      <c r="C23" s="18"/>
      <c r="D23" s="18"/>
      <c r="E23" s="18"/>
      <c r="F23" s="18"/>
      <c r="G23" s="19"/>
      <c r="H23" s="20"/>
      <c r="I23" s="18"/>
      <c r="J23" s="20"/>
      <c r="K23" s="20"/>
      <c r="L23" s="20"/>
      <c r="M23" s="20"/>
      <c r="N23" s="20"/>
      <c r="O23" s="20"/>
      <c r="P23" s="18"/>
      <c r="Q23" s="21"/>
    </row>
    <row r="24" spans="1:17" s="1" customFormat="1" ht="12.75">
      <c r="A24" s="17" t="s">
        <v>23</v>
      </c>
      <c r="B24" s="22">
        <f aca="true" t="shared" si="7" ref="B24:P24">SUM(B25:B27)</f>
        <v>1906185000</v>
      </c>
      <c r="C24" s="22">
        <f t="shared" si="7"/>
        <v>-37904000</v>
      </c>
      <c r="D24" s="22">
        <f t="shared" si="7"/>
        <v>1868281000</v>
      </c>
      <c r="E24" s="22">
        <f t="shared" si="7"/>
        <v>-5931608</v>
      </c>
      <c r="F24" s="22">
        <f t="shared" si="7"/>
        <v>0</v>
      </c>
      <c r="G24" s="22">
        <f t="shared" si="7"/>
        <v>0</v>
      </c>
      <c r="H24" s="23">
        <f t="shared" si="7"/>
        <v>-5931608</v>
      </c>
      <c r="I24" s="22">
        <f t="shared" si="7"/>
        <v>1862349392</v>
      </c>
      <c r="J24" s="22">
        <f t="shared" si="7"/>
        <v>1085421421</v>
      </c>
      <c r="K24" s="22">
        <f t="shared" si="7"/>
        <v>-119834810</v>
      </c>
      <c r="L24" s="22">
        <f t="shared" si="7"/>
        <v>-99000000</v>
      </c>
      <c r="M24" s="22">
        <f t="shared" si="7"/>
        <v>1643514582</v>
      </c>
      <c r="N24" s="22">
        <f t="shared" si="7"/>
        <v>452971447.3333333</v>
      </c>
      <c r="O24" s="22">
        <f t="shared" si="7"/>
        <v>1538392868.3333333</v>
      </c>
      <c r="P24" s="22">
        <f t="shared" si="7"/>
        <v>105121713.66666675</v>
      </c>
      <c r="Q24" s="24">
        <f aca="true" t="shared" si="8" ref="Q24:Q36">SUM(P24/I24)</f>
        <v>0.056445752938859256</v>
      </c>
    </row>
    <row r="25" spans="1:17" s="30" customFormat="1" ht="12.75">
      <c r="A25" s="25" t="s">
        <v>24</v>
      </c>
      <c r="B25" s="27">
        <v>1091597000</v>
      </c>
      <c r="C25" s="27">
        <v>11394000</v>
      </c>
      <c r="D25" s="27">
        <f>SUM(B25:C25)</f>
        <v>1102991000</v>
      </c>
      <c r="E25" s="27"/>
      <c r="F25" s="27"/>
      <c r="G25" s="28"/>
      <c r="H25" s="29">
        <f>SUM(E25:G25)</f>
        <v>0</v>
      </c>
      <c r="I25" s="27">
        <f>SUM(D25+H25)</f>
        <v>1102991000</v>
      </c>
      <c r="J25" s="29">
        <f>718396965+5000</f>
        <v>718401965</v>
      </c>
      <c r="K25" s="29"/>
      <c r="L25" s="29">
        <v>-40000000</v>
      </c>
      <c r="M25" s="29">
        <f>I25+K25+L25</f>
        <v>1062991000</v>
      </c>
      <c r="N25" s="29">
        <f>+J25/9*3</f>
        <v>239467321.66666666</v>
      </c>
      <c r="O25" s="29">
        <f>+N25+J25</f>
        <v>957869286.6666666</v>
      </c>
      <c r="P25" s="27">
        <f>M25-O25</f>
        <v>105121713.33333337</v>
      </c>
      <c r="Q25" s="24">
        <f t="shared" si="8"/>
        <v>0.09530604813034138</v>
      </c>
    </row>
    <row r="26" spans="1:19" s="30" customFormat="1" ht="12.75">
      <c r="A26" s="25" t="s">
        <v>25</v>
      </c>
      <c r="B26" s="27">
        <v>814588000</v>
      </c>
      <c r="C26" s="27">
        <f>-60318000+11020000</f>
        <v>-49298000</v>
      </c>
      <c r="D26" s="27">
        <f>SUM(B26:C26)</f>
        <v>765290000</v>
      </c>
      <c r="E26" s="27">
        <f>-889808-5931608</f>
        <v>-6821416</v>
      </c>
      <c r="F26" s="27"/>
      <c r="G26" s="28"/>
      <c r="H26" s="29">
        <f>SUM(E26:G26)</f>
        <v>-6821416</v>
      </c>
      <c r="I26" s="27">
        <f>SUM(D26+H26)</f>
        <v>758468584</v>
      </c>
      <c r="J26" s="29">
        <f>366666577+523-315000</f>
        <v>366352100</v>
      </c>
      <c r="K26" s="29">
        <f>-69834810-50000000</f>
        <v>-119834810</v>
      </c>
      <c r="L26" s="29">
        <v>-59000000</v>
      </c>
      <c r="M26" s="29">
        <f>I26+K26+L26</f>
        <v>579633774</v>
      </c>
      <c r="N26" s="29">
        <f>+J26/9*3+19002170+72162137</f>
        <v>213281673.66666666</v>
      </c>
      <c r="O26" s="29">
        <f>+N26+J26</f>
        <v>579633773.6666666</v>
      </c>
      <c r="P26" s="27">
        <f>M26-O26</f>
        <v>0.3333333730697632</v>
      </c>
      <c r="Q26" s="24">
        <f t="shared" si="8"/>
        <v>4.394821092151698E-10</v>
      </c>
      <c r="R26" s="30">
        <v>19</v>
      </c>
      <c r="S26" s="30" t="s">
        <v>57</v>
      </c>
    </row>
    <row r="27" spans="1:17" s="30" customFormat="1" ht="12.75">
      <c r="A27" s="25" t="s">
        <v>52</v>
      </c>
      <c r="B27" s="27"/>
      <c r="C27" s="27"/>
      <c r="D27" s="27">
        <f>SUM(B27:C27)</f>
        <v>0</v>
      </c>
      <c r="E27" s="27">
        <v>889808</v>
      </c>
      <c r="F27" s="27"/>
      <c r="G27" s="28"/>
      <c r="H27" s="29">
        <f>SUM(E27:G27)</f>
        <v>889808</v>
      </c>
      <c r="I27" s="27">
        <f>SUM(D27+H27)</f>
        <v>889808</v>
      </c>
      <c r="J27" s="29">
        <f>156990+510366</f>
        <v>667356</v>
      </c>
      <c r="K27" s="29"/>
      <c r="L27" s="29"/>
      <c r="M27" s="29">
        <f>I27+K27+L27</f>
        <v>889808</v>
      </c>
      <c r="N27" s="29">
        <f>+J27/9*3</f>
        <v>222452</v>
      </c>
      <c r="O27" s="29">
        <f>+N27+J27</f>
        <v>889808</v>
      </c>
      <c r="P27" s="27">
        <f>M27-O27</f>
        <v>0</v>
      </c>
      <c r="Q27" s="24">
        <f t="shared" si="8"/>
        <v>0</v>
      </c>
    </row>
    <row r="28" spans="1:17" s="1" customFormat="1" ht="12.75">
      <c r="A28" s="17" t="s">
        <v>29</v>
      </c>
      <c r="B28" s="22">
        <f aca="true" t="shared" si="9" ref="B28:P28">SUM(B29:B32)</f>
        <v>3662000</v>
      </c>
      <c r="C28" s="22">
        <f t="shared" si="9"/>
        <v>-31000</v>
      </c>
      <c r="D28" s="22">
        <f t="shared" si="9"/>
        <v>3631000</v>
      </c>
      <c r="E28" s="22">
        <f t="shared" si="9"/>
        <v>5931608</v>
      </c>
      <c r="F28" s="22">
        <f t="shared" si="9"/>
        <v>0</v>
      </c>
      <c r="G28" s="22">
        <f t="shared" si="9"/>
        <v>0</v>
      </c>
      <c r="H28" s="23">
        <f t="shared" si="9"/>
        <v>5931608</v>
      </c>
      <c r="I28" s="22">
        <f t="shared" si="9"/>
        <v>9562608</v>
      </c>
      <c r="J28" s="22">
        <f t="shared" si="9"/>
        <v>6614576</v>
      </c>
      <c r="K28" s="22">
        <f t="shared" si="9"/>
        <v>0</v>
      </c>
      <c r="L28" s="22">
        <f t="shared" si="9"/>
        <v>0</v>
      </c>
      <c r="M28" s="22">
        <f t="shared" si="9"/>
        <v>9562608</v>
      </c>
      <c r="N28" s="22">
        <f t="shared" si="9"/>
        <v>2204858.666666667</v>
      </c>
      <c r="O28" s="22">
        <f t="shared" si="9"/>
        <v>8819434.666666668</v>
      </c>
      <c r="P28" s="22">
        <f t="shared" si="9"/>
        <v>743173.3333333329</v>
      </c>
      <c r="Q28" s="24">
        <f t="shared" si="8"/>
        <v>0.07771659502651714</v>
      </c>
    </row>
    <row r="29" spans="1:17" s="30" customFormat="1" ht="12.75">
      <c r="A29" s="25" t="s">
        <v>53</v>
      </c>
      <c r="B29" s="27">
        <v>3662000</v>
      </c>
      <c r="C29" s="27">
        <v>-31000</v>
      </c>
      <c r="D29" s="27">
        <f>SUM(B29:C29)</f>
        <v>3631000</v>
      </c>
      <c r="E29" s="27"/>
      <c r="F29" s="27"/>
      <c r="G29" s="28"/>
      <c r="H29" s="29">
        <f>SUM(E29:G29)</f>
        <v>0</v>
      </c>
      <c r="I29" s="27">
        <f>SUM(D29+H29)</f>
        <v>3631000</v>
      </c>
      <c r="J29" s="29">
        <v>2165870</v>
      </c>
      <c r="K29" s="29"/>
      <c r="L29" s="29"/>
      <c r="M29" s="29">
        <f>I29+K29+L29</f>
        <v>3631000</v>
      </c>
      <c r="N29" s="29">
        <f>+J29/9*3</f>
        <v>721956.6666666666</v>
      </c>
      <c r="O29" s="29">
        <f>+N29+J29</f>
        <v>2887826.6666666665</v>
      </c>
      <c r="P29" s="27">
        <f>M29-O29</f>
        <v>743173.3333333335</v>
      </c>
      <c r="Q29" s="24">
        <f t="shared" si="8"/>
        <v>0.20467456164509323</v>
      </c>
    </row>
    <row r="30" spans="1:17" s="30" customFormat="1" ht="12.75">
      <c r="A30" s="25" t="s">
        <v>54</v>
      </c>
      <c r="B30" s="27">
        <v>0</v>
      </c>
      <c r="C30" s="27"/>
      <c r="D30" s="27">
        <f>SUM(B30:C30)</f>
        <v>0</v>
      </c>
      <c r="E30" s="27">
        <v>634267</v>
      </c>
      <c r="F30" s="27"/>
      <c r="G30" s="28"/>
      <c r="H30" s="29">
        <f>SUM(E30:G30)</f>
        <v>634267</v>
      </c>
      <c r="I30" s="27">
        <f>SUM(D30+H30)</f>
        <v>634267</v>
      </c>
      <c r="J30" s="29">
        <f>-8300+484000</f>
        <v>475700</v>
      </c>
      <c r="K30" s="29"/>
      <c r="L30" s="29"/>
      <c r="M30" s="29">
        <f>I30+K30+L30</f>
        <v>634267</v>
      </c>
      <c r="N30" s="29">
        <f>+J30/9*3</f>
        <v>158566.66666666666</v>
      </c>
      <c r="O30" s="29">
        <f>+N30+J30</f>
        <v>634266.6666666666</v>
      </c>
      <c r="P30" s="27">
        <f>M30-O30</f>
        <v>0.33333333337213844</v>
      </c>
      <c r="Q30" s="24">
        <f t="shared" si="8"/>
        <v>5.255410314144334E-07</v>
      </c>
    </row>
    <row r="31" spans="1:17" s="30" customFormat="1" ht="12.75">
      <c r="A31" s="25" t="s">
        <v>55</v>
      </c>
      <c r="B31" s="27"/>
      <c r="C31" s="27"/>
      <c r="D31" s="27">
        <f>SUM(B31:C31)</f>
        <v>0</v>
      </c>
      <c r="E31" s="27"/>
      <c r="F31" s="27"/>
      <c r="G31" s="28"/>
      <c r="H31" s="29">
        <f>SUM(E31:G31)</f>
        <v>0</v>
      </c>
      <c r="I31" s="27">
        <f>SUM(D31+H31)</f>
        <v>0</v>
      </c>
      <c r="J31" s="29"/>
      <c r="K31" s="29"/>
      <c r="L31" s="29"/>
      <c r="M31" s="29">
        <f>I31+K31+L31</f>
        <v>0</v>
      </c>
      <c r="N31" s="29">
        <f>+J31/9*3</f>
        <v>0</v>
      </c>
      <c r="O31" s="29">
        <f>+N31+J31</f>
        <v>0</v>
      </c>
      <c r="P31" s="27">
        <f>M31-O31</f>
        <v>0</v>
      </c>
      <c r="Q31" s="24" t="e">
        <f t="shared" si="8"/>
        <v>#DIV/0!</v>
      </c>
    </row>
    <row r="32" spans="1:18" s="30" customFormat="1" ht="12.75">
      <c r="A32" s="25" t="s">
        <v>56</v>
      </c>
      <c r="B32" s="27"/>
      <c r="C32" s="27"/>
      <c r="D32" s="27">
        <f>SUM(B32:C32)</f>
        <v>0</v>
      </c>
      <c r="E32" s="27">
        <v>5297341</v>
      </c>
      <c r="F32" s="27"/>
      <c r="G32" s="28"/>
      <c r="H32" s="29">
        <f>SUM(E32:G32)</f>
        <v>5297341</v>
      </c>
      <c r="I32" s="27">
        <f>SUM(D32+H32)</f>
        <v>5297341</v>
      </c>
      <c r="J32" s="29">
        <v>3973006</v>
      </c>
      <c r="K32" s="29"/>
      <c r="L32" s="29"/>
      <c r="M32" s="29">
        <f>I32+K32+L32</f>
        <v>5297341</v>
      </c>
      <c r="N32" s="29">
        <f>+J32/9*3</f>
        <v>1324335.3333333335</v>
      </c>
      <c r="O32" s="29">
        <f>+N32+J32</f>
        <v>5297341.333333334</v>
      </c>
      <c r="P32" s="27">
        <f>M32-O32</f>
        <v>-0.33333333395421505</v>
      </c>
      <c r="Q32" s="24">
        <f t="shared" si="8"/>
        <v>-6.292465105686325E-08</v>
      </c>
      <c r="R32" s="4"/>
    </row>
    <row r="33" spans="1:18" s="1" customFormat="1" ht="12.75">
      <c r="A33" s="17" t="s">
        <v>35</v>
      </c>
      <c r="B33" s="22">
        <f aca="true" t="shared" si="10" ref="B33:P33">SUM(B34:B36)</f>
        <v>355058000</v>
      </c>
      <c r="C33" s="22">
        <f t="shared" si="10"/>
        <v>62607000</v>
      </c>
      <c r="D33" s="22">
        <f t="shared" si="10"/>
        <v>417665000</v>
      </c>
      <c r="E33" s="22">
        <f t="shared" si="10"/>
        <v>0</v>
      </c>
      <c r="F33" s="22">
        <f t="shared" si="10"/>
        <v>-487530</v>
      </c>
      <c r="G33" s="22">
        <f t="shared" si="10"/>
        <v>0</v>
      </c>
      <c r="H33" s="23">
        <f t="shared" si="10"/>
        <v>-487530</v>
      </c>
      <c r="I33" s="22">
        <f t="shared" si="10"/>
        <v>417177470</v>
      </c>
      <c r="J33" s="22">
        <f t="shared" si="10"/>
        <v>193713161</v>
      </c>
      <c r="K33" s="22">
        <f t="shared" si="10"/>
        <v>119834810</v>
      </c>
      <c r="L33" s="22">
        <f t="shared" si="10"/>
        <v>21478162</v>
      </c>
      <c r="M33" s="22">
        <f t="shared" si="10"/>
        <v>558490442</v>
      </c>
      <c r="N33" s="22">
        <f t="shared" si="10"/>
        <v>364735599.6666667</v>
      </c>
      <c r="O33" s="22">
        <f t="shared" si="10"/>
        <v>558448760.6666666</v>
      </c>
      <c r="P33" s="22">
        <f t="shared" si="10"/>
        <v>41681.33333333334</v>
      </c>
      <c r="Q33" s="24">
        <f t="shared" si="8"/>
        <v>9.991271420609876E-05</v>
      </c>
      <c r="R33" s="31"/>
    </row>
    <row r="34" spans="1:17" s="30" customFormat="1" ht="12.75">
      <c r="A34" s="25" t="s">
        <v>36</v>
      </c>
      <c r="B34" s="27">
        <v>258134000</v>
      </c>
      <c r="C34" s="27">
        <f>9841000+50000000</f>
        <v>59841000</v>
      </c>
      <c r="D34" s="27">
        <f>SUM(B34:C34)</f>
        <v>317975000</v>
      </c>
      <c r="E34" s="27"/>
      <c r="F34" s="27"/>
      <c r="G34" s="28"/>
      <c r="H34" s="29">
        <f>SUM(E34:G34)</f>
        <v>0</v>
      </c>
      <c r="I34" s="27">
        <f>SUM(D34+H34)</f>
        <v>317975000</v>
      </c>
      <c r="J34" s="29">
        <v>169621402</v>
      </c>
      <c r="K34" s="29"/>
      <c r="L34" s="29"/>
      <c r="M34" s="29">
        <f>I34+K34+L34</f>
        <v>317975000</v>
      </c>
      <c r="N34" s="29">
        <f>+J34/9*3+91813131</f>
        <v>148353598.3333333</v>
      </c>
      <c r="O34" s="29">
        <f>+N34+J34</f>
        <v>317975000.3333333</v>
      </c>
      <c r="P34" s="27">
        <f>M34-O34</f>
        <v>-0.3333333134651184</v>
      </c>
      <c r="Q34" s="24">
        <f t="shared" si="8"/>
        <v>-1.0483003804233616E-09</v>
      </c>
    </row>
    <row r="35" spans="1:19" s="30" customFormat="1" ht="12.75">
      <c r="A35" s="25" t="s">
        <v>37</v>
      </c>
      <c r="B35" s="27">
        <v>96681000</v>
      </c>
      <c r="C35" s="27">
        <f>3811000-1045000</f>
        <v>2766000</v>
      </c>
      <c r="D35" s="27">
        <f>SUM(B35:C35)</f>
        <v>99447000</v>
      </c>
      <c r="E35" s="27"/>
      <c r="F35" s="27">
        <v>-487530</v>
      </c>
      <c r="G35" s="28"/>
      <c r="H35" s="29">
        <f>SUM(E35:G35)</f>
        <v>-487530</v>
      </c>
      <c r="I35" s="27">
        <f>SUM(D35+H35)</f>
        <v>98959470</v>
      </c>
      <c r="J35" s="29">
        <v>23940770</v>
      </c>
      <c r="K35" s="29">
        <f>69834810+50000000</f>
        <v>119834810</v>
      </c>
      <c r="L35" s="29">
        <f>5614547+15863615</f>
        <v>21478162</v>
      </c>
      <c r="M35" s="29">
        <f>I35+K35+L35</f>
        <v>240272442</v>
      </c>
      <c r="N35" s="29">
        <f>+J35/9*3+67038443+K35+L35</f>
        <v>216331671.6666667</v>
      </c>
      <c r="O35" s="29">
        <f>+N35+J35</f>
        <v>240272441.6666667</v>
      </c>
      <c r="P35" s="27">
        <f>M35-O35</f>
        <v>0.3333333134651184</v>
      </c>
      <c r="Q35" s="24">
        <f t="shared" si="8"/>
        <v>3.3683821615568313E-09</v>
      </c>
      <c r="R35" s="30">
        <v>158</v>
      </c>
      <c r="S35" s="30" t="s">
        <v>58</v>
      </c>
    </row>
    <row r="36" spans="1:19" s="30" customFormat="1" ht="12.75">
      <c r="A36" s="25" t="s">
        <v>38</v>
      </c>
      <c r="B36" s="27">
        <v>243000</v>
      </c>
      <c r="C36" s="27"/>
      <c r="D36" s="27">
        <f>SUM(B36:C36)</f>
        <v>243000</v>
      </c>
      <c r="E36" s="27"/>
      <c r="F36" s="27"/>
      <c r="G36" s="28"/>
      <c r="H36" s="29">
        <f>SUM(E36:G36)</f>
        <v>0</v>
      </c>
      <c r="I36" s="27">
        <f>SUM(D36+H36)</f>
        <v>243000</v>
      </c>
      <c r="J36" s="29">
        <v>150989</v>
      </c>
      <c r="K36" s="29"/>
      <c r="L36" s="29"/>
      <c r="M36" s="29">
        <f>I36+K36+L36</f>
        <v>243000</v>
      </c>
      <c r="N36" s="29">
        <f>+J36/9*3</f>
        <v>50329.666666666664</v>
      </c>
      <c r="O36" s="29">
        <f>+N36+J36</f>
        <v>201318.66666666666</v>
      </c>
      <c r="P36" s="27">
        <f>M36-O36</f>
        <v>41681.33333333334</v>
      </c>
      <c r="Q36" s="24">
        <f t="shared" si="8"/>
        <v>0.17152812071330595</v>
      </c>
      <c r="R36" s="30">
        <v>20</v>
      </c>
      <c r="S36" s="30" t="s">
        <v>59</v>
      </c>
    </row>
    <row r="37" spans="1:19" s="1" customFormat="1" ht="13.5" thickBot="1">
      <c r="A37" s="32" t="s">
        <v>0</v>
      </c>
      <c r="B37" s="33">
        <f aca="true" t="shared" si="11" ref="B37:P37">+B33+B28+B24</f>
        <v>2264905000</v>
      </c>
      <c r="C37" s="33">
        <f t="shared" si="11"/>
        <v>24672000</v>
      </c>
      <c r="D37" s="33">
        <f t="shared" si="11"/>
        <v>2289577000</v>
      </c>
      <c r="E37" s="33">
        <f t="shared" si="11"/>
        <v>0</v>
      </c>
      <c r="F37" s="33">
        <f t="shared" si="11"/>
        <v>-487530</v>
      </c>
      <c r="G37" s="33">
        <f t="shared" si="11"/>
        <v>0</v>
      </c>
      <c r="H37" s="34">
        <f t="shared" si="11"/>
        <v>-487530</v>
      </c>
      <c r="I37" s="33">
        <f t="shared" si="11"/>
        <v>2289089470</v>
      </c>
      <c r="J37" s="34">
        <f t="shared" si="11"/>
        <v>1285749158</v>
      </c>
      <c r="K37" s="34">
        <f t="shared" si="11"/>
        <v>0</v>
      </c>
      <c r="L37" s="34">
        <f t="shared" si="11"/>
        <v>-77521838</v>
      </c>
      <c r="M37" s="34">
        <f t="shared" si="11"/>
        <v>2211567632</v>
      </c>
      <c r="N37" s="34">
        <f t="shared" si="11"/>
        <v>819911905.6666667</v>
      </c>
      <c r="O37" s="34">
        <f t="shared" si="11"/>
        <v>2105661063.6666665</v>
      </c>
      <c r="P37" s="34">
        <f t="shared" si="11"/>
        <v>105906568.33333342</v>
      </c>
      <c r="Q37" s="35">
        <f>SUM(P37/I37)</f>
        <v>0.04626580556212747</v>
      </c>
      <c r="R37" s="1">
        <v>50</v>
      </c>
      <c r="S37" s="1" t="s">
        <v>60</v>
      </c>
    </row>
    <row r="38" spans="1:17" s="3" customFormat="1" ht="13.5" thickTop="1">
      <c r="A38" s="36" t="s">
        <v>39</v>
      </c>
      <c r="B38" s="37"/>
      <c r="C38" s="37"/>
      <c r="D38" s="37">
        <f>ROUND((+D37*0.08),-3)</f>
        <v>183166000</v>
      </c>
      <c r="E38" s="37"/>
      <c r="F38" s="38"/>
      <c r="G38" s="39"/>
      <c r="H38" s="38"/>
      <c r="I38" s="37"/>
      <c r="J38" s="38"/>
      <c r="K38" s="38"/>
      <c r="L38" s="38"/>
      <c r="M38" s="38"/>
      <c r="N38" s="38"/>
      <c r="O38" s="38"/>
      <c r="P38" s="37"/>
      <c r="Q38" s="40"/>
    </row>
    <row r="39" spans="1:17" s="3" customFormat="1" ht="12.75">
      <c r="A39" s="36"/>
      <c r="B39" s="37"/>
      <c r="C39" s="37"/>
      <c r="D39" s="37"/>
      <c r="E39" s="37"/>
      <c r="F39" s="38"/>
      <c r="G39" s="39"/>
      <c r="H39" s="38"/>
      <c r="I39" s="37"/>
      <c r="J39" s="38"/>
      <c r="K39" s="38"/>
      <c r="L39" s="38"/>
      <c r="M39" s="38"/>
      <c r="N39" s="38"/>
      <c r="O39" s="38"/>
      <c r="P39" s="37"/>
      <c r="Q39" s="40"/>
    </row>
    <row r="40" spans="1:17" ht="12.75">
      <c r="A40" s="17" t="s">
        <v>41</v>
      </c>
      <c r="B40" s="18"/>
      <c r="C40" s="18"/>
      <c r="D40" s="18"/>
      <c r="E40" s="18"/>
      <c r="F40" s="18"/>
      <c r="G40" s="19"/>
      <c r="H40" s="20"/>
      <c r="I40" s="18"/>
      <c r="J40" s="20"/>
      <c r="K40" s="20"/>
      <c r="L40" s="20"/>
      <c r="M40" s="20"/>
      <c r="N40" s="20"/>
      <c r="O40" s="20"/>
      <c r="P40" s="18"/>
      <c r="Q40" s="21"/>
    </row>
    <row r="41" spans="1:17" s="1" customFormat="1" ht="12.75">
      <c r="A41" s="17" t="s">
        <v>23</v>
      </c>
      <c r="B41" s="22">
        <f aca="true" t="shared" si="12" ref="B41:P41">SUM(B42:B44)</f>
        <v>304120000</v>
      </c>
      <c r="C41" s="22">
        <f t="shared" si="12"/>
        <v>-2301000</v>
      </c>
      <c r="D41" s="22">
        <f t="shared" si="12"/>
        <v>301819000</v>
      </c>
      <c r="E41" s="22">
        <f t="shared" si="12"/>
        <v>-6010276</v>
      </c>
      <c r="F41" s="22">
        <f t="shared" si="12"/>
        <v>0</v>
      </c>
      <c r="G41" s="22">
        <f t="shared" si="12"/>
        <v>0</v>
      </c>
      <c r="H41" s="23">
        <f t="shared" si="12"/>
        <v>-6010276</v>
      </c>
      <c r="I41" s="22">
        <f t="shared" si="12"/>
        <v>295808724</v>
      </c>
      <c r="J41" s="22">
        <f t="shared" si="12"/>
        <v>205246662</v>
      </c>
      <c r="K41" s="22">
        <f t="shared" si="12"/>
        <v>0</v>
      </c>
      <c r="L41" s="22">
        <f t="shared" si="12"/>
        <v>0</v>
      </c>
      <c r="M41" s="22">
        <f t="shared" si="12"/>
        <v>295808724</v>
      </c>
      <c r="N41" s="22">
        <f t="shared" si="12"/>
        <v>86511096.00000001</v>
      </c>
      <c r="O41" s="22">
        <f t="shared" si="12"/>
        <v>291757758.00000006</v>
      </c>
      <c r="P41" s="22">
        <f t="shared" si="12"/>
        <v>4050965.999999983</v>
      </c>
      <c r="Q41" s="24">
        <f aca="true" t="shared" si="13" ref="Q41:Q53">SUM(P41/I41)</f>
        <v>0.013694545398194487</v>
      </c>
    </row>
    <row r="42" spans="1:17" s="30" customFormat="1" ht="12.75">
      <c r="A42" s="25" t="s">
        <v>24</v>
      </c>
      <c r="B42" s="27">
        <v>237084000</v>
      </c>
      <c r="C42" s="27">
        <v>-648000</v>
      </c>
      <c r="D42" s="27">
        <f>SUM(B42:C42)</f>
        <v>236436000</v>
      </c>
      <c r="E42" s="27"/>
      <c r="F42" s="27"/>
      <c r="G42" s="28"/>
      <c r="H42" s="29">
        <f>SUM(E42:G42)</f>
        <v>0</v>
      </c>
      <c r="I42" s="27">
        <f>SUM(D42+H42)</f>
        <v>236436000</v>
      </c>
      <c r="J42" s="29">
        <v>174288776</v>
      </c>
      <c r="K42" s="29"/>
      <c r="L42" s="29"/>
      <c r="M42" s="29">
        <f>I42+K42+L42</f>
        <v>236436000</v>
      </c>
      <c r="N42" s="29">
        <f>+J42/9*3</f>
        <v>58096258.66666667</v>
      </c>
      <c r="O42" s="29">
        <f>+N42+J42</f>
        <v>232385034.6666667</v>
      </c>
      <c r="P42" s="27">
        <f>M42-O42</f>
        <v>4050965.3333333135</v>
      </c>
      <c r="Q42" s="24">
        <f t="shared" si="13"/>
        <v>0.017133454014335015</v>
      </c>
    </row>
    <row r="43" spans="1:17" s="30" customFormat="1" ht="12.75">
      <c r="A43" s="25" t="s">
        <v>25</v>
      </c>
      <c r="B43" s="27">
        <v>67036000</v>
      </c>
      <c r="C43" s="27">
        <v>-1653000</v>
      </c>
      <c r="D43" s="27">
        <f>SUM(B43:C43)</f>
        <v>65383000</v>
      </c>
      <c r="E43" s="27">
        <f>-6010276-22691</f>
        <v>-6032967</v>
      </c>
      <c r="F43" s="27"/>
      <c r="G43" s="28"/>
      <c r="H43" s="29">
        <f>SUM(E43:G43)</f>
        <v>-6032967</v>
      </c>
      <c r="I43" s="27">
        <f>SUM(D43+H43)</f>
        <v>59350033</v>
      </c>
      <c r="J43" s="29">
        <v>30940868</v>
      </c>
      <c r="K43" s="29"/>
      <c r="L43" s="29"/>
      <c r="M43" s="29">
        <f>I43+K43+L43</f>
        <v>59350033</v>
      </c>
      <c r="N43" s="29">
        <f>+J43/9*3+18095542</f>
        <v>28409164.666666664</v>
      </c>
      <c r="O43" s="29">
        <f>+N43+J43</f>
        <v>59350032.666666664</v>
      </c>
      <c r="P43" s="27">
        <f>M43-O43</f>
        <v>0.3333333358168602</v>
      </c>
      <c r="Q43" s="24">
        <f t="shared" si="13"/>
        <v>5.6163968066683334E-09</v>
      </c>
    </row>
    <row r="44" spans="1:17" s="30" customFormat="1" ht="12.75">
      <c r="A44" s="25" t="s">
        <v>52</v>
      </c>
      <c r="B44" s="27"/>
      <c r="C44" s="27"/>
      <c r="D44" s="27">
        <f>SUM(B44:C44)</f>
        <v>0</v>
      </c>
      <c r="E44" s="27">
        <v>22691</v>
      </c>
      <c r="F44" s="27"/>
      <c r="G44" s="28"/>
      <c r="H44" s="29">
        <f>SUM(E44:G44)</f>
        <v>22691</v>
      </c>
      <c r="I44" s="27">
        <f>SUM(D44+H44)</f>
        <v>22691</v>
      </c>
      <c r="J44" s="29">
        <v>17018</v>
      </c>
      <c r="K44" s="29"/>
      <c r="L44" s="29"/>
      <c r="M44" s="29">
        <f>I44+K44+L44</f>
        <v>22691</v>
      </c>
      <c r="N44" s="29">
        <f>+J44/9*3</f>
        <v>5672.666666666667</v>
      </c>
      <c r="O44" s="29">
        <f>+N44+J44</f>
        <v>22690.666666666668</v>
      </c>
      <c r="P44" s="27">
        <f>M44-O44</f>
        <v>0.3333333333321207</v>
      </c>
      <c r="Q44" s="24">
        <f t="shared" si="13"/>
        <v>1.469011208550177E-05</v>
      </c>
    </row>
    <row r="45" spans="1:17" s="1" customFormat="1" ht="12.75">
      <c r="A45" s="17" t="s">
        <v>29</v>
      </c>
      <c r="B45" s="22">
        <f aca="true" t="shared" si="14" ref="B45:P45">SUM(B46:B49)</f>
        <v>3557000</v>
      </c>
      <c r="C45" s="22">
        <f t="shared" si="14"/>
        <v>1539000</v>
      </c>
      <c r="D45" s="22">
        <f t="shared" si="14"/>
        <v>5096000</v>
      </c>
      <c r="E45" s="22">
        <f t="shared" si="14"/>
        <v>6010276</v>
      </c>
      <c r="F45" s="22">
        <f t="shared" si="14"/>
        <v>0</v>
      </c>
      <c r="G45" s="22">
        <f t="shared" si="14"/>
        <v>0</v>
      </c>
      <c r="H45" s="23">
        <f t="shared" si="14"/>
        <v>6010276</v>
      </c>
      <c r="I45" s="22">
        <f t="shared" si="14"/>
        <v>11106276</v>
      </c>
      <c r="J45" s="22">
        <f t="shared" si="14"/>
        <v>8329707</v>
      </c>
      <c r="K45" s="22">
        <f t="shared" si="14"/>
        <v>0</v>
      </c>
      <c r="L45" s="22">
        <f t="shared" si="14"/>
        <v>0</v>
      </c>
      <c r="M45" s="22">
        <f t="shared" si="14"/>
        <v>11106276</v>
      </c>
      <c r="N45" s="22">
        <f t="shared" si="14"/>
        <v>2776569</v>
      </c>
      <c r="O45" s="22">
        <f t="shared" si="14"/>
        <v>11106276</v>
      </c>
      <c r="P45" s="22">
        <f t="shared" si="14"/>
        <v>-2.3283064365386963E-10</v>
      </c>
      <c r="Q45" s="24">
        <f t="shared" si="13"/>
        <v>-2.0963880571117596E-17</v>
      </c>
    </row>
    <row r="46" spans="1:17" s="30" customFormat="1" ht="12.75">
      <c r="A46" s="25" t="s">
        <v>53</v>
      </c>
      <c r="B46" s="27">
        <v>1119000</v>
      </c>
      <c r="C46" s="27">
        <v>35000</v>
      </c>
      <c r="D46" s="27">
        <f>SUM(B46:C46)</f>
        <v>1154000</v>
      </c>
      <c r="E46" s="27">
        <v>-448075</v>
      </c>
      <c r="F46" s="27"/>
      <c r="G46" s="28"/>
      <c r="H46" s="29">
        <f>SUM(E46:G46)</f>
        <v>-448075</v>
      </c>
      <c r="I46" s="27">
        <f>SUM(D46+H46)</f>
        <v>705925</v>
      </c>
      <c r="J46" s="29">
        <v>529444</v>
      </c>
      <c r="K46" s="29"/>
      <c r="L46" s="29"/>
      <c r="M46" s="29">
        <f>I46+K46+L46</f>
        <v>705925</v>
      </c>
      <c r="N46" s="29">
        <f>+J46/9*3</f>
        <v>176481.3333333333</v>
      </c>
      <c r="O46" s="29">
        <f>+N46+J46</f>
        <v>705925.3333333333</v>
      </c>
      <c r="P46" s="27">
        <f>M46-O46</f>
        <v>-0.3333333332557231</v>
      </c>
      <c r="Q46" s="24">
        <f t="shared" si="13"/>
        <v>-4.7219369374327744E-07</v>
      </c>
    </row>
    <row r="47" spans="1:17" s="30" customFormat="1" ht="12.75">
      <c r="A47" s="25" t="s">
        <v>54</v>
      </c>
      <c r="B47" s="27">
        <v>0</v>
      </c>
      <c r="C47" s="27"/>
      <c r="D47" s="27">
        <f>SUM(B47:C47)</f>
        <v>0</v>
      </c>
      <c r="E47" s="27"/>
      <c r="F47" s="27"/>
      <c r="G47" s="28"/>
      <c r="H47" s="29">
        <f>SUM(E47:G47)</f>
        <v>0</v>
      </c>
      <c r="I47" s="27">
        <f>SUM(D47+H47)</f>
        <v>0</v>
      </c>
      <c r="J47" s="29"/>
      <c r="K47" s="29"/>
      <c r="L47" s="29"/>
      <c r="M47" s="29">
        <f>I47+K47+L47</f>
        <v>0</v>
      </c>
      <c r="N47" s="29">
        <f>+J47/9*3</f>
        <v>0</v>
      </c>
      <c r="O47" s="29">
        <f>+N47+J47</f>
        <v>0</v>
      </c>
      <c r="P47" s="27">
        <f>M47-O47</f>
        <v>0</v>
      </c>
      <c r="Q47" s="24" t="e">
        <f t="shared" si="13"/>
        <v>#DIV/0!</v>
      </c>
    </row>
    <row r="48" spans="1:17" s="30" customFormat="1" ht="12.75">
      <c r="A48" s="25" t="s">
        <v>55</v>
      </c>
      <c r="B48" s="27">
        <v>2438000</v>
      </c>
      <c r="C48" s="27">
        <v>1504000</v>
      </c>
      <c r="D48" s="27">
        <f>SUM(B48:C48)</f>
        <v>3942000</v>
      </c>
      <c r="E48" s="27">
        <v>1211480</v>
      </c>
      <c r="F48" s="27"/>
      <c r="G48" s="28"/>
      <c r="H48" s="29">
        <f>SUM(E48:G48)</f>
        <v>1211480</v>
      </c>
      <c r="I48" s="27">
        <f>SUM(D48+H48)</f>
        <v>5153480</v>
      </c>
      <c r="J48" s="29">
        <v>3865110</v>
      </c>
      <c r="K48" s="29"/>
      <c r="L48" s="29"/>
      <c r="M48" s="29">
        <f>I48+K48+L48</f>
        <v>5153480</v>
      </c>
      <c r="N48" s="29">
        <f>+J48/9*3</f>
        <v>1288370</v>
      </c>
      <c r="O48" s="29">
        <f>+N48+J48</f>
        <v>5153480</v>
      </c>
      <c r="P48" s="27">
        <f>M48-O48</f>
        <v>0</v>
      </c>
      <c r="Q48" s="24">
        <f t="shared" si="13"/>
        <v>0</v>
      </c>
    </row>
    <row r="49" spans="1:18" s="30" customFormat="1" ht="12.75">
      <c r="A49" s="25" t="s">
        <v>56</v>
      </c>
      <c r="B49" s="27">
        <v>0</v>
      </c>
      <c r="C49" s="27"/>
      <c r="D49" s="27">
        <f>SUM(B49:C49)</f>
        <v>0</v>
      </c>
      <c r="E49" s="27">
        <v>5246871</v>
      </c>
      <c r="F49" s="27"/>
      <c r="G49" s="28"/>
      <c r="H49" s="29">
        <f>SUM(E49:G49)</f>
        <v>5246871</v>
      </c>
      <c r="I49" s="27">
        <f>SUM(D49+H49)</f>
        <v>5246871</v>
      </c>
      <c r="J49" s="29">
        <v>3935153</v>
      </c>
      <c r="K49" s="29"/>
      <c r="L49" s="29"/>
      <c r="M49" s="29">
        <f>I49+K49+L49</f>
        <v>5246871</v>
      </c>
      <c r="N49" s="29">
        <f>+J49/9*3</f>
        <v>1311717.6666666667</v>
      </c>
      <c r="O49" s="29">
        <f>+N49+J49</f>
        <v>5246870.666666667</v>
      </c>
      <c r="P49" s="27">
        <f>M49-O49</f>
        <v>0.3333333330228925</v>
      </c>
      <c r="Q49" s="24">
        <f t="shared" si="13"/>
        <v>6.352992726958457E-08</v>
      </c>
      <c r="R49" s="4"/>
    </row>
    <row r="50" spans="1:18" s="1" customFormat="1" ht="12.75">
      <c r="A50" s="17" t="s">
        <v>35</v>
      </c>
      <c r="B50" s="22">
        <f aca="true" t="shared" si="15" ref="B50:P50">SUM(B51:B53)</f>
        <v>7643000</v>
      </c>
      <c r="C50" s="22">
        <f t="shared" si="15"/>
        <v>-734000</v>
      </c>
      <c r="D50" s="22">
        <f t="shared" si="15"/>
        <v>6909000</v>
      </c>
      <c r="E50" s="22">
        <f t="shared" si="15"/>
        <v>0</v>
      </c>
      <c r="F50" s="22">
        <f t="shared" si="15"/>
        <v>0</v>
      </c>
      <c r="G50" s="22">
        <f t="shared" si="15"/>
        <v>0</v>
      </c>
      <c r="H50" s="23">
        <f t="shared" si="15"/>
        <v>0</v>
      </c>
      <c r="I50" s="22">
        <f t="shared" si="15"/>
        <v>6909000</v>
      </c>
      <c r="J50" s="22">
        <f t="shared" si="15"/>
        <v>970840</v>
      </c>
      <c r="K50" s="22">
        <f t="shared" si="15"/>
        <v>0</v>
      </c>
      <c r="L50" s="22">
        <f t="shared" si="15"/>
        <v>-5614547</v>
      </c>
      <c r="M50" s="22">
        <f>SUM(M51:M53)</f>
        <v>1294453</v>
      </c>
      <c r="N50" s="22">
        <f t="shared" si="15"/>
        <v>323613.3333333334</v>
      </c>
      <c r="O50" s="22">
        <f t="shared" si="15"/>
        <v>1294453.3333333335</v>
      </c>
      <c r="P50" s="22">
        <f t="shared" si="15"/>
        <v>-0.33333333348855376</v>
      </c>
      <c r="Q50" s="24">
        <f t="shared" si="13"/>
        <v>-4.8246248876618E-08</v>
      </c>
      <c r="R50" s="31"/>
    </row>
    <row r="51" spans="1:17" s="30" customFormat="1" ht="12.75">
      <c r="A51" s="25" t="s">
        <v>36</v>
      </c>
      <c r="B51" s="27">
        <v>0</v>
      </c>
      <c r="C51" s="27"/>
      <c r="D51" s="27">
        <f>SUM(B51:C51)</f>
        <v>0</v>
      </c>
      <c r="E51" s="27">
        <v>928</v>
      </c>
      <c r="F51" s="27"/>
      <c r="G51" s="28"/>
      <c r="H51" s="29">
        <f>SUM(E51:G51)</f>
        <v>928</v>
      </c>
      <c r="I51" s="27">
        <f>SUM(D51+H51)</f>
        <v>928</v>
      </c>
      <c r="J51" s="29">
        <v>696</v>
      </c>
      <c r="K51" s="29"/>
      <c r="L51" s="29"/>
      <c r="M51" s="29">
        <f>I51+K51+L51</f>
        <v>928</v>
      </c>
      <c r="N51" s="29">
        <f>+J51/9*3</f>
        <v>232</v>
      </c>
      <c r="O51" s="29">
        <f>+N51+J51</f>
        <v>928</v>
      </c>
      <c r="P51" s="27">
        <f>M51-O51</f>
        <v>0</v>
      </c>
      <c r="Q51" s="24">
        <f t="shared" si="13"/>
        <v>0</v>
      </c>
    </row>
    <row r="52" spans="1:17" s="30" customFormat="1" ht="12.75">
      <c r="A52" s="25" t="s">
        <v>37</v>
      </c>
      <c r="B52" s="27">
        <v>7643000</v>
      </c>
      <c r="C52" s="27">
        <v>-734000</v>
      </c>
      <c r="D52" s="27">
        <f>SUM(B52:C52)</f>
        <v>6909000</v>
      </c>
      <c r="E52" s="27">
        <v>-31240</v>
      </c>
      <c r="F52" s="27"/>
      <c r="G52" s="28"/>
      <c r="H52" s="29">
        <f>SUM(E52:G52)</f>
        <v>-31240</v>
      </c>
      <c r="I52" s="27">
        <f>SUM(D52+H52)</f>
        <v>6877760</v>
      </c>
      <c r="J52" s="29">
        <v>947410</v>
      </c>
      <c r="K52" s="29"/>
      <c r="L52" s="29">
        <v>-5614547</v>
      </c>
      <c r="M52" s="29">
        <f>I52+K52+L52</f>
        <v>1263213</v>
      </c>
      <c r="N52" s="29">
        <f>+J52/9*3</f>
        <v>315803.3333333334</v>
      </c>
      <c r="O52" s="29">
        <f>+N52+J52</f>
        <v>1263213.3333333335</v>
      </c>
      <c r="P52" s="27">
        <f>M52-O52</f>
        <v>-0.33333333348855376</v>
      </c>
      <c r="Q52" s="24">
        <f t="shared" si="13"/>
        <v>-4.8465391855568346E-08</v>
      </c>
    </row>
    <row r="53" spans="1:17" s="30" customFormat="1" ht="12.75">
      <c r="A53" s="25" t="s">
        <v>38</v>
      </c>
      <c r="B53" s="27">
        <v>0</v>
      </c>
      <c r="C53" s="27"/>
      <c r="D53" s="27">
        <f>SUM(B53:C53)</f>
        <v>0</v>
      </c>
      <c r="E53" s="27">
        <v>30312</v>
      </c>
      <c r="F53" s="27"/>
      <c r="G53" s="28"/>
      <c r="H53" s="29">
        <f>SUM(E53:G53)</f>
        <v>30312</v>
      </c>
      <c r="I53" s="27">
        <f>SUM(D53+H53)</f>
        <v>30312</v>
      </c>
      <c r="J53" s="29">
        <v>22734</v>
      </c>
      <c r="K53" s="29"/>
      <c r="L53" s="29"/>
      <c r="M53" s="29">
        <f>I53+K53+L53</f>
        <v>30312</v>
      </c>
      <c r="N53" s="29">
        <f>+J53/9*3</f>
        <v>7578</v>
      </c>
      <c r="O53" s="29">
        <f>+N53+J53</f>
        <v>30312</v>
      </c>
      <c r="P53" s="27">
        <f>M53-O53</f>
        <v>0</v>
      </c>
      <c r="Q53" s="24">
        <f t="shared" si="13"/>
        <v>0</v>
      </c>
    </row>
    <row r="54" spans="1:17" s="1" customFormat="1" ht="13.5" thickBot="1">
      <c r="A54" s="32" t="s">
        <v>0</v>
      </c>
      <c r="B54" s="33">
        <f aca="true" t="shared" si="16" ref="B54:P54">+B50+B45+B41</f>
        <v>315320000</v>
      </c>
      <c r="C54" s="33">
        <f t="shared" si="16"/>
        <v>-1496000</v>
      </c>
      <c r="D54" s="33">
        <f t="shared" si="16"/>
        <v>313824000</v>
      </c>
      <c r="E54" s="33">
        <f t="shared" si="16"/>
        <v>0</v>
      </c>
      <c r="F54" s="33">
        <f t="shared" si="16"/>
        <v>0</v>
      </c>
      <c r="G54" s="33">
        <f t="shared" si="16"/>
        <v>0</v>
      </c>
      <c r="H54" s="34">
        <f t="shared" si="16"/>
        <v>0</v>
      </c>
      <c r="I54" s="33">
        <f t="shared" si="16"/>
        <v>313824000</v>
      </c>
      <c r="J54" s="34">
        <f t="shared" si="16"/>
        <v>214547209</v>
      </c>
      <c r="K54" s="34">
        <f t="shared" si="16"/>
        <v>0</v>
      </c>
      <c r="L54" s="34">
        <f t="shared" si="16"/>
        <v>-5614547</v>
      </c>
      <c r="M54" s="34">
        <f t="shared" si="16"/>
        <v>308209453</v>
      </c>
      <c r="N54" s="34">
        <f t="shared" si="16"/>
        <v>89611278.33333334</v>
      </c>
      <c r="O54" s="34">
        <f t="shared" si="16"/>
        <v>304158487.3333334</v>
      </c>
      <c r="P54" s="34">
        <f t="shared" si="16"/>
        <v>4050965.6666666493</v>
      </c>
      <c r="Q54" s="35">
        <f>SUM(P54/I54)</f>
        <v>0.01290839982495491</v>
      </c>
    </row>
    <row r="55" spans="1:17" s="3" customFormat="1" ht="13.5" thickTop="1">
      <c r="A55" s="50" t="s">
        <v>39</v>
      </c>
      <c r="B55" s="51"/>
      <c r="C55" s="51"/>
      <c r="D55" s="51">
        <f>ROUND((+D54*0.08),-3)</f>
        <v>25106000</v>
      </c>
      <c r="E55" s="51"/>
      <c r="F55" s="52"/>
      <c r="G55" s="53"/>
      <c r="H55" s="52"/>
      <c r="I55" s="51"/>
      <c r="J55" s="52"/>
      <c r="K55" s="52"/>
      <c r="L55" s="52"/>
      <c r="M55" s="52"/>
      <c r="N55" s="52"/>
      <c r="O55" s="52"/>
      <c r="P55" s="51"/>
      <c r="Q55" s="54"/>
    </row>
    <row r="56" spans="1:17" s="3" customFormat="1" ht="12.75">
      <c r="A56" s="36"/>
      <c r="B56" s="37"/>
      <c r="C56" s="37"/>
      <c r="D56" s="37"/>
      <c r="E56" s="37"/>
      <c r="F56" s="38"/>
      <c r="G56" s="39"/>
      <c r="H56" s="38"/>
      <c r="I56" s="37"/>
      <c r="J56" s="38"/>
      <c r="K56" s="38"/>
      <c r="L56" s="38"/>
      <c r="M56" s="38"/>
      <c r="N56" s="38"/>
      <c r="O56" s="38"/>
      <c r="P56" s="37"/>
      <c r="Q56" s="40"/>
    </row>
    <row r="57" spans="1:17" ht="12.75">
      <c r="A57" s="17" t="s">
        <v>42</v>
      </c>
      <c r="B57" s="18"/>
      <c r="C57" s="18"/>
      <c r="D57" s="18"/>
      <c r="E57" s="18"/>
      <c r="F57" s="18"/>
      <c r="G57" s="19"/>
      <c r="H57" s="20"/>
      <c r="I57" s="18"/>
      <c r="J57" s="20"/>
      <c r="K57" s="20"/>
      <c r="L57" s="20"/>
      <c r="M57" s="20"/>
      <c r="N57" s="20"/>
      <c r="O57" s="20"/>
      <c r="P57" s="18"/>
      <c r="Q57" s="21"/>
    </row>
    <row r="58" spans="1:17" s="1" customFormat="1" ht="12.75">
      <c r="A58" s="17" t="s">
        <v>23</v>
      </c>
      <c r="B58" s="22">
        <f aca="true" t="shared" si="17" ref="B58:P58">SUM(B59:B61)</f>
        <v>1254195000</v>
      </c>
      <c r="C58" s="22">
        <f t="shared" si="17"/>
        <v>82000000</v>
      </c>
      <c r="D58" s="22">
        <f t="shared" si="17"/>
        <v>1336195000</v>
      </c>
      <c r="E58" s="22">
        <f t="shared" si="17"/>
        <v>-2614203</v>
      </c>
      <c r="F58" s="22">
        <f t="shared" si="17"/>
        <v>0</v>
      </c>
      <c r="G58" s="22">
        <f t="shared" si="17"/>
        <v>0</v>
      </c>
      <c r="H58" s="23">
        <f t="shared" si="17"/>
        <v>-2614203</v>
      </c>
      <c r="I58" s="22">
        <f t="shared" si="17"/>
        <v>1333580797</v>
      </c>
      <c r="J58" s="22">
        <f t="shared" si="17"/>
        <v>927789262</v>
      </c>
      <c r="K58" s="22">
        <f t="shared" si="17"/>
        <v>0</v>
      </c>
      <c r="L58" s="22">
        <f t="shared" si="17"/>
        <v>99000000</v>
      </c>
      <c r="M58" s="22">
        <f t="shared" si="17"/>
        <v>1432580797</v>
      </c>
      <c r="N58" s="22">
        <f t="shared" si="17"/>
        <v>504791535.3333333</v>
      </c>
      <c r="O58" s="22">
        <f t="shared" si="17"/>
        <v>1432580797.3333333</v>
      </c>
      <c r="P58" s="22">
        <f t="shared" si="17"/>
        <v>-0.33333339293676545</v>
      </c>
      <c r="Q58" s="24">
        <f aca="true" t="shared" si="18" ref="Q58:Q70">SUM(P58/I58)</f>
        <v>-2.4995365386681214E-10</v>
      </c>
    </row>
    <row r="59" spans="1:17" s="30" customFormat="1" ht="12.75">
      <c r="A59" s="25" t="s">
        <v>24</v>
      </c>
      <c r="B59" s="27">
        <v>905156000</v>
      </c>
      <c r="C59" s="27"/>
      <c r="D59" s="27">
        <f>SUM(B59:C59)</f>
        <v>905156000</v>
      </c>
      <c r="E59" s="27"/>
      <c r="F59" s="27"/>
      <c r="G59" s="28"/>
      <c r="H59" s="29">
        <f>SUM(E59:G59)</f>
        <v>0</v>
      </c>
      <c r="I59" s="27">
        <f>SUM(D59+H59)</f>
        <v>905156000</v>
      </c>
      <c r="J59" s="29">
        <f>11082+670651925</f>
        <v>670663007</v>
      </c>
      <c r="K59" s="29"/>
      <c r="L59" s="29">
        <f>10000000+30000000</f>
        <v>40000000</v>
      </c>
      <c r="M59" s="29">
        <f>I59+K59+L59</f>
        <v>945156000</v>
      </c>
      <c r="N59" s="29">
        <f>+J59/9*3+10938657+40000000</f>
        <v>274492992.6666667</v>
      </c>
      <c r="O59" s="29">
        <f>+N59+J59</f>
        <v>945155999.6666667</v>
      </c>
      <c r="P59" s="27">
        <f>M59-O59</f>
        <v>0.33333325386047363</v>
      </c>
      <c r="Q59" s="24">
        <f t="shared" si="18"/>
        <v>3.682605582468366E-10</v>
      </c>
    </row>
    <row r="60" spans="1:17" s="30" customFormat="1" ht="12.75">
      <c r="A60" s="25" t="s">
        <v>25</v>
      </c>
      <c r="B60" s="27">
        <v>349039000</v>
      </c>
      <c r="C60" s="27">
        <v>82000000</v>
      </c>
      <c r="D60" s="27">
        <f>SUM(B60:C60)</f>
        <v>431039000</v>
      </c>
      <c r="E60" s="27">
        <f>-17665-2614203</f>
        <v>-2631868</v>
      </c>
      <c r="F60" s="27"/>
      <c r="G60" s="28"/>
      <c r="H60" s="29">
        <f>SUM(E60:G60)</f>
        <v>-2631868</v>
      </c>
      <c r="I60" s="27">
        <f>SUM(D60+H60)</f>
        <v>428407132</v>
      </c>
      <c r="J60" s="29">
        <f>2332440+254780566</f>
        <v>257113006</v>
      </c>
      <c r="K60" s="29"/>
      <c r="L60" s="29">
        <f>15000000+10000000+10000000+4000000+5000000+15000000</f>
        <v>59000000</v>
      </c>
      <c r="M60" s="29">
        <f>I60+K60+L60</f>
        <v>487407132</v>
      </c>
      <c r="N60" s="29">
        <f>+J60/9*3+85589791+59000000</f>
        <v>230294126.3333333</v>
      </c>
      <c r="O60" s="29">
        <f>+N60+J60</f>
        <v>487407132.3333333</v>
      </c>
      <c r="P60" s="27">
        <f>M60-O60</f>
        <v>-0.3333333134651184</v>
      </c>
      <c r="Q60" s="24">
        <f t="shared" si="18"/>
        <v>-7.780760136017493E-10</v>
      </c>
    </row>
    <row r="61" spans="1:17" s="30" customFormat="1" ht="12.75">
      <c r="A61" s="25" t="s">
        <v>52</v>
      </c>
      <c r="B61" s="27"/>
      <c r="C61" s="27"/>
      <c r="D61" s="27">
        <f>SUM(B61:C61)</f>
        <v>0</v>
      </c>
      <c r="E61" s="27">
        <v>17665</v>
      </c>
      <c r="F61" s="27"/>
      <c r="G61" s="28"/>
      <c r="H61" s="29">
        <f>SUM(E61:G61)</f>
        <v>17665</v>
      </c>
      <c r="I61" s="27">
        <f>SUM(D61+H61)</f>
        <v>17665</v>
      </c>
      <c r="J61" s="29">
        <v>13249</v>
      </c>
      <c r="K61" s="29"/>
      <c r="L61" s="29"/>
      <c r="M61" s="29">
        <f>I61+K61+L61</f>
        <v>17665</v>
      </c>
      <c r="N61" s="29">
        <f>+J61/9*3</f>
        <v>4416.333333333333</v>
      </c>
      <c r="O61" s="29">
        <f>+N61+J61</f>
        <v>17665.333333333332</v>
      </c>
      <c r="P61" s="27">
        <f>M61-O61</f>
        <v>-0.3333333333321207</v>
      </c>
      <c r="Q61" s="24">
        <f t="shared" si="18"/>
        <v>-1.886970468905297E-05</v>
      </c>
    </row>
    <row r="62" spans="1:17" s="1" customFormat="1" ht="12.75">
      <c r="A62" s="17" t="s">
        <v>29</v>
      </c>
      <c r="B62" s="22">
        <f aca="true" t="shared" si="19" ref="B62:P62">SUM(B63:B66)</f>
        <v>2635000</v>
      </c>
      <c r="C62" s="22">
        <f t="shared" si="19"/>
        <v>0</v>
      </c>
      <c r="D62" s="22">
        <f t="shared" si="19"/>
        <v>2635000</v>
      </c>
      <c r="E62" s="22">
        <f t="shared" si="19"/>
        <v>2614203</v>
      </c>
      <c r="F62" s="22">
        <f t="shared" si="19"/>
        <v>0</v>
      </c>
      <c r="G62" s="22">
        <f t="shared" si="19"/>
        <v>0</v>
      </c>
      <c r="H62" s="23">
        <f t="shared" si="19"/>
        <v>2614203</v>
      </c>
      <c r="I62" s="22">
        <f t="shared" si="19"/>
        <v>5249203</v>
      </c>
      <c r="J62" s="22">
        <f t="shared" si="19"/>
        <v>3936902</v>
      </c>
      <c r="K62" s="22">
        <f t="shared" si="19"/>
        <v>0</v>
      </c>
      <c r="L62" s="22">
        <f t="shared" si="19"/>
        <v>0</v>
      </c>
      <c r="M62" s="22">
        <f t="shared" si="19"/>
        <v>5249203</v>
      </c>
      <c r="N62" s="22">
        <f t="shared" si="19"/>
        <v>1312300.6666666665</v>
      </c>
      <c r="O62" s="22">
        <f t="shared" si="19"/>
        <v>5249202.666666666</v>
      </c>
      <c r="P62" s="22">
        <f t="shared" si="19"/>
        <v>0.33333333348855376</v>
      </c>
      <c r="Q62" s="24">
        <f t="shared" si="18"/>
        <v>6.350170368502681E-08</v>
      </c>
    </row>
    <row r="63" spans="1:17" s="30" customFormat="1" ht="12.75">
      <c r="A63" s="25" t="s">
        <v>53</v>
      </c>
      <c r="B63" s="27">
        <v>2635000</v>
      </c>
      <c r="C63" s="27"/>
      <c r="D63" s="27">
        <f>SUM(B63:C63)</f>
        <v>2635000</v>
      </c>
      <c r="E63" s="27">
        <v>421687</v>
      </c>
      <c r="F63" s="27"/>
      <c r="G63" s="28"/>
      <c r="H63" s="29">
        <f>SUM(E63:G63)</f>
        <v>421687</v>
      </c>
      <c r="I63" s="27">
        <f>SUM(D63+H63)</f>
        <v>3056687</v>
      </c>
      <c r="J63" s="29">
        <v>2292515</v>
      </c>
      <c r="K63" s="29"/>
      <c r="L63" s="29"/>
      <c r="M63" s="29">
        <f>I63+K63+L63</f>
        <v>3056687</v>
      </c>
      <c r="N63" s="29">
        <f>+J63/9*3</f>
        <v>764171.6666666666</v>
      </c>
      <c r="O63" s="29">
        <f>+N63+J63</f>
        <v>3056686.6666666665</v>
      </c>
      <c r="P63" s="27">
        <f>M63-O63</f>
        <v>0.33333333348855376</v>
      </c>
      <c r="Q63" s="24">
        <f t="shared" si="18"/>
        <v>1.0905052872229108E-07</v>
      </c>
    </row>
    <row r="64" spans="1:17" s="30" customFormat="1" ht="12.75">
      <c r="A64" s="25" t="s">
        <v>54</v>
      </c>
      <c r="B64" s="27">
        <v>0</v>
      </c>
      <c r="C64" s="27">
        <v>0</v>
      </c>
      <c r="D64" s="27">
        <f>SUM(B64:C64)</f>
        <v>0</v>
      </c>
      <c r="E64" s="27"/>
      <c r="F64" s="27"/>
      <c r="G64" s="28"/>
      <c r="H64" s="29">
        <f>SUM(E64:G64)</f>
        <v>0</v>
      </c>
      <c r="I64" s="27">
        <f>SUM(D64+H64)</f>
        <v>0</v>
      </c>
      <c r="J64" s="29"/>
      <c r="K64" s="29"/>
      <c r="L64" s="29"/>
      <c r="M64" s="29">
        <f>I64+K64+L64</f>
        <v>0</v>
      </c>
      <c r="N64" s="29">
        <f>+J64/9*3</f>
        <v>0</v>
      </c>
      <c r="O64" s="29">
        <f>+N64+J64</f>
        <v>0</v>
      </c>
      <c r="P64" s="27">
        <f>M64-O64</f>
        <v>0</v>
      </c>
      <c r="Q64" s="24" t="e">
        <f t="shared" si="18"/>
        <v>#DIV/0!</v>
      </c>
    </row>
    <row r="65" spans="1:17" s="30" customFormat="1" ht="12.75">
      <c r="A65" s="25" t="s">
        <v>55</v>
      </c>
      <c r="B65" s="27"/>
      <c r="C65" s="27">
        <v>0</v>
      </c>
      <c r="D65" s="27">
        <f>SUM(B65:C65)</f>
        <v>0</v>
      </c>
      <c r="E65" s="27"/>
      <c r="F65" s="27"/>
      <c r="G65" s="28"/>
      <c r="H65" s="29">
        <f>SUM(E65:G65)</f>
        <v>0</v>
      </c>
      <c r="I65" s="27">
        <f>SUM(D65+H65)</f>
        <v>0</v>
      </c>
      <c r="J65" s="29"/>
      <c r="K65" s="29"/>
      <c r="L65" s="29"/>
      <c r="M65" s="29">
        <f>I65+K65+L65</f>
        <v>0</v>
      </c>
      <c r="N65" s="29">
        <f>+J65/9*3</f>
        <v>0</v>
      </c>
      <c r="O65" s="29">
        <f>+N65+J65</f>
        <v>0</v>
      </c>
      <c r="P65" s="27">
        <f>M65-O65</f>
        <v>0</v>
      </c>
      <c r="Q65" s="24" t="e">
        <f t="shared" si="18"/>
        <v>#DIV/0!</v>
      </c>
    </row>
    <row r="66" spans="1:18" s="30" customFormat="1" ht="12.75">
      <c r="A66" s="25" t="s">
        <v>56</v>
      </c>
      <c r="B66" s="27">
        <v>0</v>
      </c>
      <c r="C66" s="27"/>
      <c r="D66" s="27">
        <f>SUM(B66:C66)</f>
        <v>0</v>
      </c>
      <c r="E66" s="27">
        <v>2192516</v>
      </c>
      <c r="F66" s="27"/>
      <c r="G66" s="28"/>
      <c r="H66" s="29">
        <f>SUM(E66:G66)</f>
        <v>2192516</v>
      </c>
      <c r="I66" s="27">
        <f>SUM(D66+H66)</f>
        <v>2192516</v>
      </c>
      <c r="J66" s="29">
        <v>1644387</v>
      </c>
      <c r="K66" s="29"/>
      <c r="L66" s="29"/>
      <c r="M66" s="29">
        <f>I66+K66+L66</f>
        <v>2192516</v>
      </c>
      <c r="N66" s="29">
        <f>+J66/9*3</f>
        <v>548129</v>
      </c>
      <c r="O66" s="29">
        <f>+N66+J66</f>
        <v>2192516</v>
      </c>
      <c r="P66" s="27">
        <f>M66-O66</f>
        <v>0</v>
      </c>
      <c r="Q66" s="24">
        <f t="shared" si="18"/>
        <v>0</v>
      </c>
      <c r="R66" s="4"/>
    </row>
    <row r="67" spans="1:18" s="1" customFormat="1" ht="12.75">
      <c r="A67" s="17" t="s">
        <v>35</v>
      </c>
      <c r="B67" s="22">
        <f aca="true" t="shared" si="20" ref="B67:P67">SUM(B68:B70)</f>
        <v>15980000</v>
      </c>
      <c r="C67" s="22">
        <f t="shared" si="20"/>
        <v>0</v>
      </c>
      <c r="D67" s="22">
        <f t="shared" si="20"/>
        <v>15980000</v>
      </c>
      <c r="E67" s="22">
        <f t="shared" si="20"/>
        <v>0</v>
      </c>
      <c r="F67" s="22">
        <f t="shared" si="20"/>
        <v>0</v>
      </c>
      <c r="G67" s="22">
        <f t="shared" si="20"/>
        <v>0</v>
      </c>
      <c r="H67" s="23">
        <f t="shared" si="20"/>
        <v>0</v>
      </c>
      <c r="I67" s="22">
        <f t="shared" si="20"/>
        <v>15980000</v>
      </c>
      <c r="J67" s="22">
        <f t="shared" si="20"/>
        <v>2809541</v>
      </c>
      <c r="K67" s="22">
        <f t="shared" si="20"/>
        <v>0</v>
      </c>
      <c r="L67" s="22">
        <f t="shared" si="20"/>
        <v>0</v>
      </c>
      <c r="M67" s="22">
        <f>SUM(M68:M70)</f>
        <v>15980000</v>
      </c>
      <c r="N67" s="22">
        <f t="shared" si="20"/>
        <v>13170458.666666666</v>
      </c>
      <c r="O67" s="22">
        <f t="shared" si="20"/>
        <v>15979999.666666666</v>
      </c>
      <c r="P67" s="22">
        <f t="shared" si="20"/>
        <v>0.33333333395421505</v>
      </c>
      <c r="Q67" s="24">
        <f t="shared" si="18"/>
        <v>2.085940763167804E-08</v>
      </c>
      <c r="R67" s="31"/>
    </row>
    <row r="68" spans="1:17" s="30" customFormat="1" ht="12.75">
      <c r="A68" s="25" t="s">
        <v>36</v>
      </c>
      <c r="B68" s="27">
        <v>0</v>
      </c>
      <c r="C68" s="27"/>
      <c r="D68" s="27">
        <f>SUM(B68:C68)</f>
        <v>0</v>
      </c>
      <c r="E68" s="27">
        <v>6436</v>
      </c>
      <c r="F68" s="27"/>
      <c r="G68" s="28"/>
      <c r="H68" s="29">
        <f>SUM(E68:G68)</f>
        <v>6436</v>
      </c>
      <c r="I68" s="27">
        <f>SUM(D68+H68)</f>
        <v>6436</v>
      </c>
      <c r="J68" s="29">
        <v>4827</v>
      </c>
      <c r="K68" s="29"/>
      <c r="L68" s="29"/>
      <c r="M68" s="29">
        <f>I68+K68+L68</f>
        <v>6436</v>
      </c>
      <c r="N68" s="29">
        <f>+J68/9*3</f>
        <v>1609</v>
      </c>
      <c r="O68" s="29">
        <f>+N68+J68</f>
        <v>6436</v>
      </c>
      <c r="P68" s="27">
        <f>M68-O68</f>
        <v>0</v>
      </c>
      <c r="Q68" s="24">
        <f t="shared" si="18"/>
        <v>0</v>
      </c>
    </row>
    <row r="69" spans="1:17" s="30" customFormat="1" ht="12.75">
      <c r="A69" s="25" t="s">
        <v>37</v>
      </c>
      <c r="B69" s="27">
        <v>15980000</v>
      </c>
      <c r="C69" s="27"/>
      <c r="D69" s="27">
        <f>SUM(B69:C69)</f>
        <v>15980000</v>
      </c>
      <c r="E69" s="27">
        <v>-6436</v>
      </c>
      <c r="F69" s="27"/>
      <c r="G69" s="28"/>
      <c r="H69" s="29">
        <f>SUM(E69:G69)</f>
        <v>-6436</v>
      </c>
      <c r="I69" s="27">
        <f>SUM(D69+H69)</f>
        <v>15973564</v>
      </c>
      <c r="J69" s="29">
        <v>2804714</v>
      </c>
      <c r="K69" s="29"/>
      <c r="L69" s="29"/>
      <c r="M69" s="29">
        <f>I69+K69+L69</f>
        <v>15973564</v>
      </c>
      <c r="N69" s="29">
        <f>+J69/9*3+12233945</f>
        <v>13168849.666666666</v>
      </c>
      <c r="O69" s="29">
        <f>+N69+J69</f>
        <v>15973563.666666666</v>
      </c>
      <c r="P69" s="27">
        <f>M69-O69</f>
        <v>0.33333333395421505</v>
      </c>
      <c r="Q69" s="24">
        <f t="shared" si="18"/>
        <v>2.086781221487046E-08</v>
      </c>
    </row>
    <row r="70" spans="1:17" s="30" customFormat="1" ht="12.75">
      <c r="A70" s="25" t="s">
        <v>38</v>
      </c>
      <c r="B70" s="27">
        <v>0</v>
      </c>
      <c r="C70" s="27"/>
      <c r="D70" s="27">
        <f>SUM(B70:C70)</f>
        <v>0</v>
      </c>
      <c r="E70" s="27"/>
      <c r="F70" s="27"/>
      <c r="G70" s="28"/>
      <c r="H70" s="29">
        <f>SUM(E70:G70)</f>
        <v>0</v>
      </c>
      <c r="I70" s="27">
        <f>SUM(D70+H70)</f>
        <v>0</v>
      </c>
      <c r="J70" s="29"/>
      <c r="K70" s="29"/>
      <c r="L70" s="29"/>
      <c r="M70" s="29">
        <f>I70+K70+L70</f>
        <v>0</v>
      </c>
      <c r="N70" s="29">
        <f>+J70/9*3</f>
        <v>0</v>
      </c>
      <c r="O70" s="29">
        <f>+N70+J70</f>
        <v>0</v>
      </c>
      <c r="P70" s="27">
        <f>M70-O70</f>
        <v>0</v>
      </c>
      <c r="Q70" s="24" t="e">
        <f t="shared" si="18"/>
        <v>#DIV/0!</v>
      </c>
    </row>
    <row r="71" spans="1:17" s="1" customFormat="1" ht="13.5" thickBot="1">
      <c r="A71" s="32" t="s">
        <v>0</v>
      </c>
      <c r="B71" s="33">
        <f aca="true" t="shared" si="21" ref="B71:P71">+B67+B62+B58</f>
        <v>1272810000</v>
      </c>
      <c r="C71" s="33">
        <f t="shared" si="21"/>
        <v>82000000</v>
      </c>
      <c r="D71" s="33">
        <f t="shared" si="21"/>
        <v>1354810000</v>
      </c>
      <c r="E71" s="33">
        <f t="shared" si="21"/>
        <v>0</v>
      </c>
      <c r="F71" s="33">
        <f t="shared" si="21"/>
        <v>0</v>
      </c>
      <c r="G71" s="33">
        <f t="shared" si="21"/>
        <v>0</v>
      </c>
      <c r="H71" s="34">
        <f t="shared" si="21"/>
        <v>0</v>
      </c>
      <c r="I71" s="33">
        <f t="shared" si="21"/>
        <v>1354810000</v>
      </c>
      <c r="J71" s="34">
        <f t="shared" si="21"/>
        <v>934535705</v>
      </c>
      <c r="K71" s="34">
        <f t="shared" si="21"/>
        <v>0</v>
      </c>
      <c r="L71" s="34">
        <f t="shared" si="21"/>
        <v>99000000</v>
      </c>
      <c r="M71" s="34">
        <f t="shared" si="21"/>
        <v>1453810000</v>
      </c>
      <c r="N71" s="34">
        <f t="shared" si="21"/>
        <v>519274294.6666666</v>
      </c>
      <c r="O71" s="34">
        <f t="shared" si="21"/>
        <v>1453809999.6666665</v>
      </c>
      <c r="P71" s="34">
        <f t="shared" si="21"/>
        <v>0.33333327450600336</v>
      </c>
      <c r="Q71" s="35">
        <f>SUM(P71/I71)</f>
        <v>2.460369162509897E-10</v>
      </c>
    </row>
    <row r="72" spans="1:17" s="3" customFormat="1" ht="13.5" thickTop="1">
      <c r="A72" s="36" t="s">
        <v>39</v>
      </c>
      <c r="B72" s="37"/>
      <c r="C72" s="37"/>
      <c r="D72" s="37">
        <f>ROUND((+D71*0.08),-3)</f>
        <v>108385000</v>
      </c>
      <c r="E72" s="37"/>
      <c r="F72" s="38"/>
      <c r="G72" s="39"/>
      <c r="H72" s="38"/>
      <c r="I72" s="37"/>
      <c r="J72" s="38"/>
      <c r="K72" s="38"/>
      <c r="L72" s="38"/>
      <c r="M72" s="38"/>
      <c r="N72" s="38"/>
      <c r="O72" s="38"/>
      <c r="P72" s="37"/>
      <c r="Q72" s="40"/>
    </row>
    <row r="73" spans="1:17" s="46" customFormat="1" ht="12.75">
      <c r="A73" s="41"/>
      <c r="B73" s="42"/>
      <c r="C73" s="42"/>
      <c r="D73" s="42"/>
      <c r="E73" s="42"/>
      <c r="F73" s="43"/>
      <c r="G73" s="44"/>
      <c r="H73" s="43"/>
      <c r="I73" s="42"/>
      <c r="J73" s="43"/>
      <c r="K73" s="43"/>
      <c r="L73" s="43"/>
      <c r="M73" s="43"/>
      <c r="N73" s="43"/>
      <c r="O73" s="43"/>
      <c r="P73" s="42"/>
      <c r="Q73" s="45"/>
    </row>
    <row r="74" spans="1:17" ht="12.75">
      <c r="A74" s="17" t="s">
        <v>43</v>
      </c>
      <c r="B74" s="18"/>
      <c r="C74" s="18"/>
      <c r="D74" s="18"/>
      <c r="E74" s="18"/>
      <c r="F74" s="18"/>
      <c r="G74" s="19"/>
      <c r="H74" s="20"/>
      <c r="I74" s="18"/>
      <c r="J74" s="20"/>
      <c r="K74" s="20"/>
      <c r="L74" s="20"/>
      <c r="M74" s="20"/>
      <c r="N74" s="20"/>
      <c r="O74" s="20"/>
      <c r="P74" s="18"/>
      <c r="Q74" s="21"/>
    </row>
    <row r="75" spans="1:17" s="1" customFormat="1" ht="12.75">
      <c r="A75" s="17" t="s">
        <v>23</v>
      </c>
      <c r="B75" s="22">
        <f aca="true" t="shared" si="22" ref="B75:P75">SUM(B76:B78)</f>
        <v>122862000</v>
      </c>
      <c r="C75" s="22">
        <f t="shared" si="22"/>
        <v>10000000</v>
      </c>
      <c r="D75" s="22">
        <f t="shared" si="22"/>
        <v>132862000</v>
      </c>
      <c r="E75" s="22">
        <f t="shared" si="22"/>
        <v>-97</v>
      </c>
      <c r="F75" s="22">
        <f t="shared" si="22"/>
        <v>0</v>
      </c>
      <c r="G75" s="22">
        <f t="shared" si="22"/>
        <v>0</v>
      </c>
      <c r="H75" s="23">
        <f t="shared" si="22"/>
        <v>-97</v>
      </c>
      <c r="I75" s="22">
        <f t="shared" si="22"/>
        <v>132861903</v>
      </c>
      <c r="J75" s="22">
        <f t="shared" si="22"/>
        <v>67357267</v>
      </c>
      <c r="K75" s="22">
        <f t="shared" si="22"/>
        <v>0</v>
      </c>
      <c r="L75" s="22">
        <f t="shared" si="22"/>
        <v>0</v>
      </c>
      <c r="M75" s="22">
        <f t="shared" si="22"/>
        <v>132861903</v>
      </c>
      <c r="N75" s="22">
        <f t="shared" si="22"/>
        <v>65499210.333333336</v>
      </c>
      <c r="O75" s="22">
        <f t="shared" si="22"/>
        <v>132856477.33333334</v>
      </c>
      <c r="P75" s="22">
        <f t="shared" si="22"/>
        <v>5425.66666666168</v>
      </c>
      <c r="Q75" s="24">
        <f aca="true" t="shared" si="23" ref="Q75:Q87">SUM(P75/I75)</f>
        <v>4.0836888108261404E-05</v>
      </c>
    </row>
    <row r="76" spans="1:17" s="30" customFormat="1" ht="12.75">
      <c r="A76" s="25" t="s">
        <v>24</v>
      </c>
      <c r="B76" s="27">
        <v>390000</v>
      </c>
      <c r="C76" s="27"/>
      <c r="D76" s="27">
        <f>SUM(B76:C76)</f>
        <v>390000</v>
      </c>
      <c r="E76" s="27"/>
      <c r="F76" s="27"/>
      <c r="G76" s="28"/>
      <c r="H76" s="29">
        <f>SUM(E76:G76)</f>
        <v>0</v>
      </c>
      <c r="I76" s="27">
        <f>SUM(D76+H76)</f>
        <v>390000</v>
      </c>
      <c r="J76" s="29">
        <v>288431</v>
      </c>
      <c r="K76" s="29"/>
      <c r="L76" s="29"/>
      <c r="M76" s="29">
        <f>I76+K76+L76</f>
        <v>390000</v>
      </c>
      <c r="N76" s="29">
        <f>+J76/9*3</f>
        <v>96143.66666666667</v>
      </c>
      <c r="O76" s="29">
        <f>+N76+J76</f>
        <v>384574.6666666667</v>
      </c>
      <c r="P76" s="27">
        <f>M76-O76</f>
        <v>5425.333333333314</v>
      </c>
      <c r="Q76" s="24">
        <f t="shared" si="23"/>
        <v>0.013911111111111062</v>
      </c>
    </row>
    <row r="77" spans="1:17" s="30" customFormat="1" ht="12.75">
      <c r="A77" s="25" t="s">
        <v>25</v>
      </c>
      <c r="B77" s="27">
        <v>122472000</v>
      </c>
      <c r="C77" s="27">
        <v>10000000</v>
      </c>
      <c r="D77" s="27">
        <f>SUM(B77:C77)</f>
        <v>132472000</v>
      </c>
      <c r="E77" s="27">
        <v>-97</v>
      </c>
      <c r="F77" s="27"/>
      <c r="G77" s="28"/>
      <c r="H77" s="29">
        <f>SUM(E77:G77)</f>
        <v>-97</v>
      </c>
      <c r="I77" s="27">
        <f>SUM(D77+H77)</f>
        <v>132471903</v>
      </c>
      <c r="J77" s="29">
        <v>67068836</v>
      </c>
      <c r="K77" s="29"/>
      <c r="L77" s="29"/>
      <c r="M77" s="29">
        <f>I77+K77+L77</f>
        <v>132471903</v>
      </c>
      <c r="N77" s="29">
        <f>+J77/9*3+43046788</f>
        <v>65403066.66666667</v>
      </c>
      <c r="O77" s="29">
        <f>+N77+J77</f>
        <v>132471902.66666667</v>
      </c>
      <c r="P77" s="27">
        <f>M77-O77</f>
        <v>0.3333333283662796</v>
      </c>
      <c r="Q77" s="24">
        <f t="shared" si="23"/>
        <v>2.51625681233159E-09</v>
      </c>
    </row>
    <row r="78" spans="1:17" s="30" customFormat="1" ht="12.75">
      <c r="A78" s="25" t="s">
        <v>52</v>
      </c>
      <c r="B78" s="27"/>
      <c r="C78" s="27"/>
      <c r="D78" s="27">
        <f>SUM(B78:C78)</f>
        <v>0</v>
      </c>
      <c r="E78" s="27"/>
      <c r="F78" s="27"/>
      <c r="G78" s="28"/>
      <c r="H78" s="29">
        <f>SUM(E78:G78)</f>
        <v>0</v>
      </c>
      <c r="I78" s="27">
        <f>SUM(D78+H78)</f>
        <v>0</v>
      </c>
      <c r="J78" s="29"/>
      <c r="K78" s="29"/>
      <c r="L78" s="29"/>
      <c r="M78" s="29">
        <f>I78+K78+L78</f>
        <v>0</v>
      </c>
      <c r="N78" s="29">
        <f>+J78/9*3</f>
        <v>0</v>
      </c>
      <c r="O78" s="29">
        <f>+N78+J78</f>
        <v>0</v>
      </c>
      <c r="P78" s="27">
        <f>M78-O78</f>
        <v>0</v>
      </c>
      <c r="Q78" s="24" t="e">
        <f t="shared" si="23"/>
        <v>#DIV/0!</v>
      </c>
    </row>
    <row r="79" spans="1:17" s="1" customFormat="1" ht="12.75">
      <c r="A79" s="17" t="s">
        <v>29</v>
      </c>
      <c r="B79" s="22">
        <f aca="true" t="shared" si="24" ref="B79:P79">SUM(B80:B83)</f>
        <v>682122000</v>
      </c>
      <c r="C79" s="22">
        <f t="shared" si="24"/>
        <v>0</v>
      </c>
      <c r="D79" s="22">
        <f t="shared" si="24"/>
        <v>682122000</v>
      </c>
      <c r="E79" s="22">
        <f t="shared" si="24"/>
        <v>97</v>
      </c>
      <c r="F79" s="22">
        <f t="shared" si="24"/>
        <v>0</v>
      </c>
      <c r="G79" s="22">
        <f t="shared" si="24"/>
        <v>0</v>
      </c>
      <c r="H79" s="22">
        <f t="shared" si="24"/>
        <v>97</v>
      </c>
      <c r="I79" s="22">
        <f t="shared" si="24"/>
        <v>682122097</v>
      </c>
      <c r="J79" s="22">
        <f t="shared" si="24"/>
        <v>518440823</v>
      </c>
      <c r="K79" s="22">
        <f t="shared" si="24"/>
        <v>0</v>
      </c>
      <c r="L79" s="22">
        <f t="shared" si="24"/>
        <v>0</v>
      </c>
      <c r="M79" s="22">
        <f t="shared" si="24"/>
        <v>682122097</v>
      </c>
      <c r="N79" s="22">
        <f t="shared" si="24"/>
        <v>163681274.33333334</v>
      </c>
      <c r="O79" s="22">
        <f t="shared" si="24"/>
        <v>682122097.3333334</v>
      </c>
      <c r="P79" s="22">
        <f t="shared" si="24"/>
        <v>-0.33333333333325754</v>
      </c>
      <c r="Q79" s="24">
        <f t="shared" si="23"/>
        <v>-4.886710675394783E-10</v>
      </c>
    </row>
    <row r="80" spans="1:17" s="30" customFormat="1" ht="12.75">
      <c r="A80" s="25" t="s">
        <v>53</v>
      </c>
      <c r="B80" s="27">
        <v>1000</v>
      </c>
      <c r="C80" s="27"/>
      <c r="D80" s="27">
        <f>SUM(B80:C80)</f>
        <v>1000</v>
      </c>
      <c r="E80" s="27">
        <v>97</v>
      </c>
      <c r="F80" s="27"/>
      <c r="G80" s="28"/>
      <c r="H80" s="29">
        <f>SUM(E80:G80)</f>
        <v>97</v>
      </c>
      <c r="I80" s="27">
        <f>SUM(D80+H80)</f>
        <v>1097</v>
      </c>
      <c r="J80" s="29">
        <v>823</v>
      </c>
      <c r="K80" s="29"/>
      <c r="L80" s="29"/>
      <c r="M80" s="29">
        <f>I80+K80+L80</f>
        <v>1097</v>
      </c>
      <c r="N80" s="29">
        <f>+J80/9*3</f>
        <v>274.3333333333333</v>
      </c>
      <c r="O80" s="29">
        <f>+N80+J80</f>
        <v>1097.3333333333333</v>
      </c>
      <c r="P80" s="27">
        <f>M80-O80</f>
        <v>-0.33333333333325754</v>
      </c>
      <c r="Q80" s="24">
        <f t="shared" si="23"/>
        <v>-0.0003038590094195602</v>
      </c>
    </row>
    <row r="81" spans="1:17" s="30" customFormat="1" ht="12.75">
      <c r="A81" s="25" t="s">
        <v>54</v>
      </c>
      <c r="B81" s="27">
        <v>682121000</v>
      </c>
      <c r="C81" s="27"/>
      <c r="D81" s="27">
        <f>SUM(B81:C81)</f>
        <v>682121000</v>
      </c>
      <c r="E81" s="27"/>
      <c r="F81" s="27"/>
      <c r="G81" s="28"/>
      <c r="H81" s="29"/>
      <c r="I81" s="27">
        <f>SUM(D81+H81)</f>
        <v>682121000</v>
      </c>
      <c r="J81" s="29">
        <v>518440000</v>
      </c>
      <c r="K81" s="29"/>
      <c r="L81" s="29"/>
      <c r="M81" s="29">
        <f>I81+K81+L81</f>
        <v>682121000</v>
      </c>
      <c r="N81" s="29">
        <v>163681000</v>
      </c>
      <c r="O81" s="29">
        <f>+N81+J81</f>
        <v>682121000</v>
      </c>
      <c r="P81" s="27">
        <f>M81-O81</f>
        <v>0</v>
      </c>
      <c r="Q81" s="24">
        <f t="shared" si="23"/>
        <v>0</v>
      </c>
    </row>
    <row r="82" spans="1:17" s="30" customFormat="1" ht="12.75">
      <c r="A82" s="25" t="s">
        <v>55</v>
      </c>
      <c r="B82" s="27">
        <v>0</v>
      </c>
      <c r="C82" s="27"/>
      <c r="D82" s="27">
        <f>SUM(B82:C82)</f>
        <v>0</v>
      </c>
      <c r="E82" s="27"/>
      <c r="F82" s="27"/>
      <c r="G82" s="28"/>
      <c r="H82" s="29">
        <f>SUM(E82:G82)</f>
        <v>0</v>
      </c>
      <c r="I82" s="27">
        <f>SUM(D82+H82)</f>
        <v>0</v>
      </c>
      <c r="J82" s="29"/>
      <c r="K82" s="29"/>
      <c r="L82" s="29"/>
      <c r="M82" s="29">
        <f>I82+K82+L82</f>
        <v>0</v>
      </c>
      <c r="N82" s="29">
        <f>+J82/9*3</f>
        <v>0</v>
      </c>
      <c r="O82" s="29">
        <f>+N82+J82</f>
        <v>0</v>
      </c>
      <c r="P82" s="27">
        <f>M82-O82</f>
        <v>0</v>
      </c>
      <c r="Q82" s="24" t="e">
        <f t="shared" si="23"/>
        <v>#DIV/0!</v>
      </c>
    </row>
    <row r="83" spans="1:18" s="30" customFormat="1" ht="12.75">
      <c r="A83" s="25" t="s">
        <v>56</v>
      </c>
      <c r="B83" s="27">
        <v>0</v>
      </c>
      <c r="C83" s="27"/>
      <c r="D83" s="27">
        <f>SUM(B83:C83)</f>
        <v>0</v>
      </c>
      <c r="E83" s="27"/>
      <c r="F83" s="27"/>
      <c r="G83" s="28"/>
      <c r="H83" s="29">
        <f>SUM(E83:G83)</f>
        <v>0</v>
      </c>
      <c r="I83" s="27">
        <f>SUM(D83+H83)</f>
        <v>0</v>
      </c>
      <c r="J83" s="29"/>
      <c r="K83" s="29"/>
      <c r="L83" s="29"/>
      <c r="M83" s="29">
        <f>I83+K83+L83</f>
        <v>0</v>
      </c>
      <c r="N83" s="29">
        <f>+J83/9*3</f>
        <v>0</v>
      </c>
      <c r="O83" s="29">
        <f>+N83+J83</f>
        <v>0</v>
      </c>
      <c r="P83" s="27">
        <f>M83-O83</f>
        <v>0</v>
      </c>
      <c r="Q83" s="24" t="e">
        <f t="shared" si="23"/>
        <v>#DIV/0!</v>
      </c>
      <c r="R83" s="4"/>
    </row>
    <row r="84" spans="1:18" s="1" customFormat="1" ht="12.75">
      <c r="A84" s="17" t="s">
        <v>35</v>
      </c>
      <c r="B84" s="22">
        <f aca="true" t="shared" si="25" ref="B84:P84">SUM(B85:B87)</f>
        <v>33259000</v>
      </c>
      <c r="C84" s="22">
        <f t="shared" si="25"/>
        <v>-10000000</v>
      </c>
      <c r="D84" s="22">
        <f t="shared" si="25"/>
        <v>23259000</v>
      </c>
      <c r="E84" s="22"/>
      <c r="F84" s="22"/>
      <c r="G84" s="22">
        <f t="shared" si="25"/>
        <v>0</v>
      </c>
      <c r="H84" s="23">
        <f t="shared" si="25"/>
        <v>0</v>
      </c>
      <c r="I84" s="22">
        <f t="shared" si="25"/>
        <v>23259000</v>
      </c>
      <c r="J84" s="22">
        <f t="shared" si="25"/>
        <v>5546539</v>
      </c>
      <c r="K84" s="22">
        <f t="shared" si="25"/>
        <v>0</v>
      </c>
      <c r="L84" s="22">
        <f t="shared" si="25"/>
        <v>-15863615</v>
      </c>
      <c r="M84" s="22">
        <f>SUM(M85:M87)</f>
        <v>7395385</v>
      </c>
      <c r="N84" s="22">
        <f t="shared" si="25"/>
        <v>1848846.3333333335</v>
      </c>
      <c r="O84" s="22">
        <f t="shared" si="25"/>
        <v>7395385.333333334</v>
      </c>
      <c r="P84" s="22">
        <f t="shared" si="25"/>
        <v>-0.33333333395421505</v>
      </c>
      <c r="Q84" s="24">
        <f t="shared" si="23"/>
        <v>-1.4331369962346406E-08</v>
      </c>
      <c r="R84" s="31"/>
    </row>
    <row r="85" spans="1:17" s="30" customFormat="1" ht="12.75">
      <c r="A85" s="25" t="s">
        <v>36</v>
      </c>
      <c r="B85" s="27">
        <v>0</v>
      </c>
      <c r="C85" s="27"/>
      <c r="D85" s="27">
        <f>SUM(B85:C85)</f>
        <v>0</v>
      </c>
      <c r="E85" s="27"/>
      <c r="F85" s="27"/>
      <c r="G85" s="28"/>
      <c r="H85" s="29">
        <f>SUM(E85:G85)</f>
        <v>0</v>
      </c>
      <c r="I85" s="27">
        <f>SUM(D85+H85)</f>
        <v>0</v>
      </c>
      <c r="J85" s="29"/>
      <c r="K85" s="29"/>
      <c r="L85" s="29"/>
      <c r="M85" s="29">
        <f>I85+K85+L85</f>
        <v>0</v>
      </c>
      <c r="N85" s="29">
        <f>+J85/9*3</f>
        <v>0</v>
      </c>
      <c r="O85" s="29">
        <f>+N85+J85</f>
        <v>0</v>
      </c>
      <c r="P85" s="27">
        <f>M85-O85</f>
        <v>0</v>
      </c>
      <c r="Q85" s="24" t="e">
        <f t="shared" si="23"/>
        <v>#DIV/0!</v>
      </c>
    </row>
    <row r="86" spans="1:17" s="30" customFormat="1" ht="12.75">
      <c r="A86" s="25" t="s">
        <v>37</v>
      </c>
      <c r="B86" s="27">
        <v>33259000</v>
      </c>
      <c r="C86" s="27">
        <v>-10000000</v>
      </c>
      <c r="D86" s="27">
        <f>SUM(B86:C86)</f>
        <v>23259000</v>
      </c>
      <c r="E86" s="27"/>
      <c r="F86" s="27"/>
      <c r="G86" s="28"/>
      <c r="H86" s="29">
        <f>SUM(E86:G86)</f>
        <v>0</v>
      </c>
      <c r="I86" s="27">
        <f>SUM(D86+H86)</f>
        <v>23259000</v>
      </c>
      <c r="J86" s="29">
        <v>5546539</v>
      </c>
      <c r="K86" s="29"/>
      <c r="L86" s="29">
        <v>-15863615</v>
      </c>
      <c r="M86" s="29">
        <f>I86+K86+L86</f>
        <v>7395385</v>
      </c>
      <c r="N86" s="29">
        <f>+J86/9*3</f>
        <v>1848846.3333333335</v>
      </c>
      <c r="O86" s="29">
        <f>+N86+J86</f>
        <v>7395385.333333334</v>
      </c>
      <c r="P86" s="27">
        <f>M86-O86</f>
        <v>-0.33333333395421505</v>
      </c>
      <c r="Q86" s="24">
        <f t="shared" si="23"/>
        <v>-1.4331369962346406E-08</v>
      </c>
    </row>
    <row r="87" spans="1:17" s="30" customFormat="1" ht="12.75">
      <c r="A87" s="25" t="s">
        <v>38</v>
      </c>
      <c r="B87" s="27">
        <v>0</v>
      </c>
      <c r="C87" s="27"/>
      <c r="D87" s="27">
        <f>SUM(B87:C87)</f>
        <v>0</v>
      </c>
      <c r="E87" s="27"/>
      <c r="F87" s="27"/>
      <c r="G87" s="28"/>
      <c r="H87" s="29">
        <f>SUM(E87:G87)</f>
        <v>0</v>
      </c>
      <c r="I87" s="27">
        <f>SUM(D87+H87)</f>
        <v>0</v>
      </c>
      <c r="J87" s="29"/>
      <c r="K87" s="29"/>
      <c r="L87" s="29"/>
      <c r="M87" s="29">
        <f>I87+K87+L87</f>
        <v>0</v>
      </c>
      <c r="N87" s="29">
        <f>+J87/9*3</f>
        <v>0</v>
      </c>
      <c r="O87" s="29">
        <f>+N87+J87</f>
        <v>0</v>
      </c>
      <c r="P87" s="27">
        <f>M87-O87</f>
        <v>0</v>
      </c>
      <c r="Q87" s="24" t="e">
        <f t="shared" si="23"/>
        <v>#DIV/0!</v>
      </c>
    </row>
    <row r="88" spans="1:17" s="1" customFormat="1" ht="13.5" thickBot="1">
      <c r="A88" s="32" t="s">
        <v>0</v>
      </c>
      <c r="B88" s="33">
        <f aca="true" t="shared" si="26" ref="B88:P88">+B84+B79+B75</f>
        <v>838243000</v>
      </c>
      <c r="C88" s="33">
        <f t="shared" si="26"/>
        <v>0</v>
      </c>
      <c r="D88" s="33">
        <f t="shared" si="26"/>
        <v>838243000</v>
      </c>
      <c r="E88" s="33">
        <f t="shared" si="26"/>
        <v>0</v>
      </c>
      <c r="F88" s="33">
        <f t="shared" si="26"/>
        <v>0</v>
      </c>
      <c r="G88" s="33">
        <f t="shared" si="26"/>
        <v>0</v>
      </c>
      <c r="H88" s="33">
        <f t="shared" si="26"/>
        <v>0</v>
      </c>
      <c r="I88" s="33">
        <f t="shared" si="26"/>
        <v>838243000</v>
      </c>
      <c r="J88" s="33">
        <f t="shared" si="26"/>
        <v>591344629</v>
      </c>
      <c r="K88" s="33">
        <f t="shared" si="26"/>
        <v>0</v>
      </c>
      <c r="L88" s="33">
        <f t="shared" si="26"/>
        <v>-15863615</v>
      </c>
      <c r="M88" s="34">
        <f t="shared" si="26"/>
        <v>822379385</v>
      </c>
      <c r="N88" s="33">
        <f t="shared" si="26"/>
        <v>231029331.00000003</v>
      </c>
      <c r="O88" s="33">
        <f t="shared" si="26"/>
        <v>822373960.0000001</v>
      </c>
      <c r="P88" s="34">
        <f t="shared" si="26"/>
        <v>5424.999999994393</v>
      </c>
      <c r="Q88" s="35">
        <f>SUM(P88/I88)</f>
        <v>6.471870328764323E-06</v>
      </c>
    </row>
    <row r="89" spans="1:17" s="3" customFormat="1" ht="13.5" thickTop="1">
      <c r="A89" s="36" t="s">
        <v>39</v>
      </c>
      <c r="B89" s="37"/>
      <c r="C89" s="37"/>
      <c r="D89" s="37">
        <f>ROUND((+D88*0.08),-3)</f>
        <v>67059000</v>
      </c>
      <c r="E89" s="37"/>
      <c r="F89" s="38"/>
      <c r="G89" s="39"/>
      <c r="H89" s="38"/>
      <c r="I89" s="37"/>
      <c r="J89" s="38"/>
      <c r="K89" s="38"/>
      <c r="L89" s="38"/>
      <c r="M89" s="38"/>
      <c r="N89" s="38"/>
      <c r="O89" s="38"/>
      <c r="P89" s="37"/>
      <c r="Q89" s="40"/>
    </row>
    <row r="90" spans="1:17" ht="12.75">
      <c r="A90" s="17"/>
      <c r="B90" s="18"/>
      <c r="C90" s="18"/>
      <c r="D90" s="18"/>
      <c r="E90" s="18"/>
      <c r="F90" s="20"/>
      <c r="G90" s="19"/>
      <c r="H90" s="20"/>
      <c r="I90" s="18"/>
      <c r="J90" s="20"/>
      <c r="K90" s="20"/>
      <c r="L90" s="20"/>
      <c r="M90" s="20"/>
      <c r="N90" s="20"/>
      <c r="O90" s="20"/>
      <c r="P90" s="18"/>
      <c r="Q90" s="21"/>
    </row>
    <row r="91" spans="1:17" s="1" customFormat="1" ht="13.5" thickBot="1">
      <c r="A91" s="32" t="s">
        <v>44</v>
      </c>
      <c r="B91" s="33">
        <f aca="true" t="shared" si="27" ref="B91:P91">+B20+B37+B54+B71+B88</f>
        <v>5072061000</v>
      </c>
      <c r="C91" s="33">
        <f t="shared" si="27"/>
        <v>113672000</v>
      </c>
      <c r="D91" s="33">
        <f t="shared" si="27"/>
        <v>5185733000</v>
      </c>
      <c r="E91" s="33">
        <f t="shared" si="27"/>
        <v>0</v>
      </c>
      <c r="F91" s="33">
        <f t="shared" si="27"/>
        <v>0</v>
      </c>
      <c r="G91" s="33">
        <f t="shared" si="27"/>
        <v>0</v>
      </c>
      <c r="H91" s="33">
        <f t="shared" si="27"/>
        <v>0</v>
      </c>
      <c r="I91" s="33">
        <f t="shared" si="27"/>
        <v>5185733000</v>
      </c>
      <c r="J91" s="33">
        <f t="shared" si="27"/>
        <v>3264948093</v>
      </c>
      <c r="K91" s="33">
        <f t="shared" si="27"/>
        <v>0</v>
      </c>
      <c r="L91" s="33">
        <f t="shared" si="27"/>
        <v>0</v>
      </c>
      <c r="M91" s="33">
        <f t="shared" si="27"/>
        <v>5185733000</v>
      </c>
      <c r="N91" s="33">
        <f t="shared" si="27"/>
        <v>1800466173.6666667</v>
      </c>
      <c r="O91" s="33">
        <f t="shared" si="27"/>
        <v>5065414266.666667</v>
      </c>
      <c r="P91" s="33">
        <f t="shared" si="27"/>
        <v>120318733.33333336</v>
      </c>
      <c r="Q91" s="35">
        <f>SUM(P91/I91)</f>
        <v>0.023201875864672046</v>
      </c>
    </row>
    <row r="92" spans="1:17" s="3" customFormat="1" ht="13.5" thickTop="1">
      <c r="A92" s="36" t="s">
        <v>39</v>
      </c>
      <c r="B92" s="37"/>
      <c r="C92" s="37"/>
      <c r="D92" s="37">
        <f>ROUND((+D91*0.08),-3)</f>
        <v>414859000</v>
      </c>
      <c r="E92" s="37"/>
      <c r="F92" s="38"/>
      <c r="G92" s="39"/>
      <c r="H92" s="38"/>
      <c r="I92" s="37"/>
      <c r="J92" s="38"/>
      <c r="K92" s="38"/>
      <c r="L92" s="38"/>
      <c r="M92" s="38"/>
      <c r="N92" s="38"/>
      <c r="O92" s="38"/>
      <c r="P92" s="37"/>
      <c r="Q92" s="40"/>
    </row>
    <row r="93" spans="1:17" s="3" customFormat="1" ht="12.75">
      <c r="A93" s="36"/>
      <c r="B93" s="37"/>
      <c r="C93" s="37"/>
      <c r="D93" s="37"/>
      <c r="E93" s="37"/>
      <c r="F93" s="38"/>
      <c r="G93" s="39"/>
      <c r="H93" s="38"/>
      <c r="I93" s="37"/>
      <c r="J93" s="38"/>
      <c r="K93" s="38"/>
      <c r="L93" s="38"/>
      <c r="M93" s="38"/>
      <c r="N93" s="38"/>
      <c r="O93" s="38"/>
      <c r="P93" s="37"/>
      <c r="Q93" s="40"/>
    </row>
    <row r="94" spans="1:17" ht="12.75">
      <c r="A94" s="17" t="s">
        <v>45</v>
      </c>
      <c r="B94" s="18"/>
      <c r="C94" s="18"/>
      <c r="D94" s="27">
        <f>SUM(B94:C94)</f>
        <v>0</v>
      </c>
      <c r="E94" s="18"/>
      <c r="F94" s="20"/>
      <c r="G94" s="19"/>
      <c r="H94" s="20"/>
      <c r="I94" s="27">
        <f>SUM(D94+H94)</f>
        <v>0</v>
      </c>
      <c r="J94" s="20"/>
      <c r="K94" s="20"/>
      <c r="L94" s="20"/>
      <c r="M94" s="20"/>
      <c r="N94" s="29">
        <f>+J94/9*12</f>
        <v>0</v>
      </c>
      <c r="O94" s="29">
        <f>+N94+J94</f>
        <v>0</v>
      </c>
      <c r="P94" s="27">
        <f>I94-O94</f>
        <v>0</v>
      </c>
      <c r="Q94" s="21"/>
    </row>
    <row r="95" spans="1:17" s="1" customFormat="1" ht="12.75">
      <c r="A95" s="17" t="s">
        <v>23</v>
      </c>
      <c r="B95" s="22">
        <f aca="true" t="shared" si="28" ref="B95:P95">SUM(B96:B98)</f>
        <v>849977000</v>
      </c>
      <c r="C95" s="22">
        <f t="shared" si="28"/>
        <v>0</v>
      </c>
      <c r="D95" s="22">
        <f t="shared" si="28"/>
        <v>0</v>
      </c>
      <c r="E95" s="22">
        <f t="shared" si="28"/>
        <v>0</v>
      </c>
      <c r="F95" s="22">
        <f t="shared" si="28"/>
        <v>0</v>
      </c>
      <c r="G95" s="22">
        <f t="shared" si="28"/>
        <v>0</v>
      </c>
      <c r="H95" s="23">
        <f t="shared" si="28"/>
        <v>0</v>
      </c>
      <c r="I95" s="22">
        <f t="shared" si="28"/>
        <v>0</v>
      </c>
      <c r="J95" s="22">
        <f t="shared" si="28"/>
        <v>776088564</v>
      </c>
      <c r="K95" s="22">
        <f t="shared" si="28"/>
        <v>0</v>
      </c>
      <c r="L95" s="22">
        <f t="shared" si="28"/>
        <v>0</v>
      </c>
      <c r="M95" s="22">
        <f t="shared" si="28"/>
        <v>0</v>
      </c>
      <c r="N95" s="22">
        <f t="shared" si="28"/>
        <v>258696188</v>
      </c>
      <c r="O95" s="22">
        <f t="shared" si="28"/>
        <v>1034784752</v>
      </c>
      <c r="P95" s="22">
        <f t="shared" si="28"/>
        <v>-1034784752</v>
      </c>
      <c r="Q95" s="24" t="e">
        <f aca="true" t="shared" si="29" ref="Q95:Q107">SUM(P95/I95)</f>
        <v>#DIV/0!</v>
      </c>
    </row>
    <row r="96" spans="1:17" s="30" customFormat="1" ht="12.75">
      <c r="A96" s="25" t="s">
        <v>24</v>
      </c>
      <c r="B96" s="27">
        <f>187877000+662100000</f>
        <v>849977000</v>
      </c>
      <c r="C96" s="27"/>
      <c r="D96" s="27"/>
      <c r="E96" s="27"/>
      <c r="F96" s="27"/>
      <c r="G96" s="28"/>
      <c r="H96" s="29">
        <f>SUM(E96:G96)</f>
        <v>0</v>
      </c>
      <c r="I96" s="27">
        <f>SUM(D96+H96)</f>
        <v>0</v>
      </c>
      <c r="J96" s="29">
        <v>765859614</v>
      </c>
      <c r="K96" s="29"/>
      <c r="L96" s="29"/>
      <c r="M96" s="29">
        <f>I96+K96+L96</f>
        <v>0</v>
      </c>
      <c r="N96" s="29">
        <f>+J96/9*3</f>
        <v>255286538</v>
      </c>
      <c r="O96" s="29">
        <f>+N96+J96</f>
        <v>1021146152</v>
      </c>
      <c r="P96" s="27">
        <f>I96-O96</f>
        <v>-1021146152</v>
      </c>
      <c r="Q96" s="24" t="e">
        <f t="shared" si="29"/>
        <v>#DIV/0!</v>
      </c>
    </row>
    <row r="97" spans="1:17" s="30" customFormat="1" ht="12.75">
      <c r="A97" s="25" t="s">
        <v>25</v>
      </c>
      <c r="B97" s="27"/>
      <c r="C97" s="27"/>
      <c r="D97" s="27"/>
      <c r="E97" s="27"/>
      <c r="F97" s="27"/>
      <c r="G97" s="28"/>
      <c r="H97" s="29">
        <f>SUM(E97:G97)</f>
        <v>0</v>
      </c>
      <c r="I97" s="27">
        <f>SUM(D97+H97)</f>
        <v>0</v>
      </c>
      <c r="J97" s="29">
        <v>10228950</v>
      </c>
      <c r="K97" s="29"/>
      <c r="L97" s="29"/>
      <c r="M97" s="29">
        <f>I97+K97+L97</f>
        <v>0</v>
      </c>
      <c r="N97" s="29">
        <f>+J97/9*3</f>
        <v>3409650</v>
      </c>
      <c r="O97" s="29">
        <f>+N97+J97</f>
        <v>13638600</v>
      </c>
      <c r="P97" s="27">
        <f>I97-O97</f>
        <v>-13638600</v>
      </c>
      <c r="Q97" s="24" t="e">
        <f t="shared" si="29"/>
        <v>#DIV/0!</v>
      </c>
    </row>
    <row r="98" spans="1:17" s="30" customFormat="1" ht="12.75">
      <c r="A98" s="25" t="s">
        <v>52</v>
      </c>
      <c r="B98" s="27"/>
      <c r="C98" s="27"/>
      <c r="D98" s="27">
        <f>SUM(B98:C98)</f>
        <v>0</v>
      </c>
      <c r="E98" s="27"/>
      <c r="F98" s="27"/>
      <c r="G98" s="28"/>
      <c r="H98" s="29">
        <f>SUM(E98:G98)</f>
        <v>0</v>
      </c>
      <c r="I98" s="27">
        <f>SUM(D98+H98)</f>
        <v>0</v>
      </c>
      <c r="J98" s="29"/>
      <c r="K98" s="29"/>
      <c r="L98" s="29"/>
      <c r="M98" s="29">
        <f>I98+K98+L98</f>
        <v>0</v>
      </c>
      <c r="N98" s="29">
        <f>+J98/9*3</f>
        <v>0</v>
      </c>
      <c r="O98" s="29">
        <f>+N98+J98</f>
        <v>0</v>
      </c>
      <c r="P98" s="27">
        <f>I98-O98</f>
        <v>0</v>
      </c>
      <c r="Q98" s="24" t="e">
        <f t="shared" si="29"/>
        <v>#DIV/0!</v>
      </c>
    </row>
    <row r="99" spans="1:17" s="1" customFormat="1" ht="12.75">
      <c r="A99" s="17" t="s">
        <v>29</v>
      </c>
      <c r="B99" s="22">
        <f>SUM(B100:B103)</f>
        <v>0</v>
      </c>
      <c r="C99" s="22">
        <f>SUM(C100:C103)</f>
        <v>0</v>
      </c>
      <c r="D99" s="22">
        <f>SUM(D100:D103)</f>
        <v>0</v>
      </c>
      <c r="E99" s="22"/>
      <c r="F99" s="22"/>
      <c r="G99" s="22">
        <f aca="true" t="shared" si="30" ref="G99:O99">SUM(G100:G103)</f>
        <v>0</v>
      </c>
      <c r="H99" s="23">
        <f t="shared" si="30"/>
        <v>0</v>
      </c>
      <c r="I99" s="22">
        <f t="shared" si="30"/>
        <v>0</v>
      </c>
      <c r="J99" s="22">
        <f t="shared" si="30"/>
        <v>25103390</v>
      </c>
      <c r="K99" s="22">
        <f t="shared" si="30"/>
        <v>0</v>
      </c>
      <c r="L99" s="22">
        <f t="shared" si="30"/>
        <v>0</v>
      </c>
      <c r="M99" s="22">
        <f t="shared" si="30"/>
        <v>0</v>
      </c>
      <c r="N99" s="22">
        <f t="shared" si="30"/>
        <v>8367796.666666666</v>
      </c>
      <c r="O99" s="22">
        <f t="shared" si="30"/>
        <v>33471186.666666664</v>
      </c>
      <c r="P99" s="22">
        <f>+P100+P101+P102+P103</f>
        <v>-33471186.666666664</v>
      </c>
      <c r="Q99" s="24" t="e">
        <f t="shared" si="29"/>
        <v>#DIV/0!</v>
      </c>
    </row>
    <row r="100" spans="1:17" s="30" customFormat="1" ht="12.75">
      <c r="A100" s="25" t="s">
        <v>53</v>
      </c>
      <c r="B100" s="27"/>
      <c r="C100" s="27"/>
      <c r="D100" s="27"/>
      <c r="E100" s="27"/>
      <c r="F100" s="27"/>
      <c r="G100" s="28"/>
      <c r="H100" s="29">
        <f>SUM(E100:G100)</f>
        <v>0</v>
      </c>
      <c r="I100" s="27">
        <f>SUM(D100+H100)</f>
        <v>0</v>
      </c>
      <c r="J100" s="29">
        <v>2380764</v>
      </c>
      <c r="K100" s="29"/>
      <c r="L100" s="29"/>
      <c r="M100" s="29">
        <f>I100+K100+L100</f>
        <v>0</v>
      </c>
      <c r="N100" s="29">
        <f>+J100/9*3</f>
        <v>793588</v>
      </c>
      <c r="O100" s="29">
        <f>+N100+J100</f>
        <v>3174352</v>
      </c>
      <c r="P100" s="27">
        <f>I100-O100</f>
        <v>-3174352</v>
      </c>
      <c r="Q100" s="24" t="e">
        <f t="shared" si="29"/>
        <v>#DIV/0!</v>
      </c>
    </row>
    <row r="101" spans="1:17" s="30" customFormat="1" ht="12.75">
      <c r="A101" s="25" t="s">
        <v>54</v>
      </c>
      <c r="B101" s="27"/>
      <c r="C101" s="27"/>
      <c r="D101" s="27"/>
      <c r="E101" s="27"/>
      <c r="F101" s="27"/>
      <c r="G101" s="28"/>
      <c r="H101" s="29"/>
      <c r="I101" s="27">
        <f>SUM(D101+H101)</f>
        <v>0</v>
      </c>
      <c r="J101" s="29"/>
      <c r="K101" s="29"/>
      <c r="L101" s="29"/>
      <c r="M101" s="29">
        <f>I101+K101+L101</f>
        <v>0</v>
      </c>
      <c r="N101" s="29">
        <f>+J101/9*3</f>
        <v>0</v>
      </c>
      <c r="O101" s="29">
        <f>+N101+J101</f>
        <v>0</v>
      </c>
      <c r="P101" s="27">
        <f>I101-O101</f>
        <v>0</v>
      </c>
      <c r="Q101" s="24" t="e">
        <f t="shared" si="29"/>
        <v>#DIV/0!</v>
      </c>
    </row>
    <row r="102" spans="1:17" s="30" customFormat="1" ht="12.75">
      <c r="A102" s="25" t="s">
        <v>55</v>
      </c>
      <c r="B102" s="27"/>
      <c r="C102" s="27"/>
      <c r="D102" s="27"/>
      <c r="E102" s="27"/>
      <c r="F102" s="27"/>
      <c r="G102" s="28"/>
      <c r="H102" s="29">
        <f>SUM(E102:G102)</f>
        <v>0</v>
      </c>
      <c r="I102" s="27">
        <f>SUM(D102+H102)</f>
        <v>0</v>
      </c>
      <c r="J102" s="29"/>
      <c r="K102" s="29"/>
      <c r="L102" s="29"/>
      <c r="M102" s="29">
        <f>I102+K102+L102</f>
        <v>0</v>
      </c>
      <c r="N102" s="29">
        <f>+J102/9*3</f>
        <v>0</v>
      </c>
      <c r="O102" s="29">
        <f>+N102+J102</f>
        <v>0</v>
      </c>
      <c r="P102" s="27">
        <f>I102-O102</f>
        <v>0</v>
      </c>
      <c r="Q102" s="24" t="e">
        <f t="shared" si="29"/>
        <v>#DIV/0!</v>
      </c>
    </row>
    <row r="103" spans="1:18" s="30" customFormat="1" ht="12.75">
      <c r="A103" s="25" t="s">
        <v>56</v>
      </c>
      <c r="B103" s="27">
        <v>0</v>
      </c>
      <c r="C103" s="27"/>
      <c r="D103" s="27">
        <f>SUM(B103:C103)</f>
        <v>0</v>
      </c>
      <c r="E103" s="27"/>
      <c r="F103" s="27"/>
      <c r="G103" s="28"/>
      <c r="H103" s="29">
        <f>SUM(E103:G103)</f>
        <v>0</v>
      </c>
      <c r="I103" s="27">
        <f>SUM(D103+H103)</f>
        <v>0</v>
      </c>
      <c r="J103" s="29">
        <v>22722626</v>
      </c>
      <c r="K103" s="29"/>
      <c r="L103" s="29"/>
      <c r="M103" s="29">
        <f>I103+K103+L103</f>
        <v>0</v>
      </c>
      <c r="N103" s="29">
        <f>+J103/9*3</f>
        <v>7574208.666666666</v>
      </c>
      <c r="O103" s="29">
        <f>+N103+J103</f>
        <v>30296834.666666664</v>
      </c>
      <c r="P103" s="27">
        <f>I103-O103</f>
        <v>-30296834.666666664</v>
      </c>
      <c r="Q103" s="24" t="e">
        <f t="shared" si="29"/>
        <v>#DIV/0!</v>
      </c>
      <c r="R103" s="4"/>
    </row>
    <row r="104" spans="1:18" s="1" customFormat="1" ht="12.75">
      <c r="A104" s="17" t="s">
        <v>35</v>
      </c>
      <c r="B104" s="22">
        <f>SUM(B105:B107)</f>
        <v>0</v>
      </c>
      <c r="C104" s="22">
        <f>SUM(C105:C107)</f>
        <v>0</v>
      </c>
      <c r="D104" s="22">
        <f>SUM(D105:D107)</f>
        <v>0</v>
      </c>
      <c r="E104" s="22"/>
      <c r="F104" s="22"/>
      <c r="G104" s="22">
        <f aca="true" t="shared" si="31" ref="G104:P104">SUM(G105:G107)</f>
        <v>0</v>
      </c>
      <c r="H104" s="23">
        <f t="shared" si="31"/>
        <v>0</v>
      </c>
      <c r="I104" s="22">
        <f t="shared" si="31"/>
        <v>0</v>
      </c>
      <c r="J104" s="22">
        <f t="shared" si="31"/>
        <v>0</v>
      </c>
      <c r="K104" s="22">
        <f t="shared" si="31"/>
        <v>0</v>
      </c>
      <c r="L104" s="22">
        <f t="shared" si="31"/>
        <v>0</v>
      </c>
      <c r="M104" s="22">
        <f t="shared" si="31"/>
        <v>0</v>
      </c>
      <c r="N104" s="22">
        <f t="shared" si="31"/>
        <v>0</v>
      </c>
      <c r="O104" s="22">
        <f t="shared" si="31"/>
        <v>0</v>
      </c>
      <c r="P104" s="22">
        <f t="shared" si="31"/>
        <v>0</v>
      </c>
      <c r="Q104" s="24" t="e">
        <f t="shared" si="29"/>
        <v>#DIV/0!</v>
      </c>
      <c r="R104" s="31"/>
    </row>
    <row r="105" spans="1:17" s="30" customFormat="1" ht="12.75">
      <c r="A105" s="25" t="s">
        <v>36</v>
      </c>
      <c r="B105" s="27"/>
      <c r="C105" s="27"/>
      <c r="D105" s="27"/>
      <c r="E105" s="27"/>
      <c r="F105" s="27"/>
      <c r="G105" s="28"/>
      <c r="H105" s="29">
        <f>SUM(E105:G105)</f>
        <v>0</v>
      </c>
      <c r="I105" s="27">
        <f>SUM(D105+H105)</f>
        <v>0</v>
      </c>
      <c r="J105" s="29"/>
      <c r="K105" s="29"/>
      <c r="L105" s="29"/>
      <c r="M105" s="29">
        <f>I105+K105+L105</f>
        <v>0</v>
      </c>
      <c r="N105" s="29">
        <f>+J105/9*3</f>
        <v>0</v>
      </c>
      <c r="O105" s="29">
        <f>+N105+J105</f>
        <v>0</v>
      </c>
      <c r="P105" s="27">
        <f>I105-O105</f>
        <v>0</v>
      </c>
      <c r="Q105" s="24" t="e">
        <f t="shared" si="29"/>
        <v>#DIV/0!</v>
      </c>
    </row>
    <row r="106" spans="1:17" s="30" customFormat="1" ht="12.75">
      <c r="A106" s="25" t="s">
        <v>37</v>
      </c>
      <c r="B106" s="27"/>
      <c r="C106" s="27"/>
      <c r="D106" s="27"/>
      <c r="E106" s="27"/>
      <c r="F106" s="27"/>
      <c r="G106" s="28"/>
      <c r="H106" s="29">
        <f>SUM(E106:G106)</f>
        <v>0</v>
      </c>
      <c r="I106" s="27">
        <f>SUM(D106+H106)</f>
        <v>0</v>
      </c>
      <c r="J106" s="29"/>
      <c r="K106" s="29"/>
      <c r="L106" s="29"/>
      <c r="M106" s="29">
        <f>I106+K106+L106</f>
        <v>0</v>
      </c>
      <c r="N106" s="29">
        <f>+J106/9*3</f>
        <v>0</v>
      </c>
      <c r="O106" s="29">
        <f>+N106+J106</f>
        <v>0</v>
      </c>
      <c r="P106" s="27">
        <f>I106-O106</f>
        <v>0</v>
      </c>
      <c r="Q106" s="24" t="e">
        <f t="shared" si="29"/>
        <v>#DIV/0!</v>
      </c>
    </row>
    <row r="107" spans="1:17" s="30" customFormat="1" ht="12.75">
      <c r="A107" s="25" t="s">
        <v>38</v>
      </c>
      <c r="B107" s="27"/>
      <c r="C107" s="27"/>
      <c r="D107" s="27"/>
      <c r="E107" s="27"/>
      <c r="F107" s="27"/>
      <c r="G107" s="28"/>
      <c r="H107" s="29">
        <f>SUM(E107:G107)</f>
        <v>0</v>
      </c>
      <c r="I107" s="27">
        <f>SUM(D107+H107)</f>
        <v>0</v>
      </c>
      <c r="J107" s="29"/>
      <c r="K107" s="29"/>
      <c r="L107" s="29"/>
      <c r="M107" s="29">
        <f>I107+K107+L107</f>
        <v>0</v>
      </c>
      <c r="N107" s="29">
        <f>+J107/9*3</f>
        <v>0</v>
      </c>
      <c r="O107" s="29">
        <f>+N107+J107</f>
        <v>0</v>
      </c>
      <c r="P107" s="27">
        <f>I107-O107</f>
        <v>0</v>
      </c>
      <c r="Q107" s="24" t="e">
        <f t="shared" si="29"/>
        <v>#DIV/0!</v>
      </c>
    </row>
    <row r="108" spans="1:17" ht="12.75">
      <c r="A108" s="17"/>
      <c r="B108" s="18"/>
      <c r="C108" s="18"/>
      <c r="D108" s="27">
        <f>SUM(B108:C108)</f>
        <v>0</v>
      </c>
      <c r="E108" s="18"/>
      <c r="F108" s="20"/>
      <c r="G108" s="19"/>
      <c r="H108" s="20"/>
      <c r="I108" s="27">
        <f>SUM(D108+H108)</f>
        <v>0</v>
      </c>
      <c r="J108" s="20"/>
      <c r="K108" s="20"/>
      <c r="L108" s="20"/>
      <c r="M108" s="20"/>
      <c r="N108" s="29">
        <f>+J108/9*3</f>
        <v>0</v>
      </c>
      <c r="O108" s="29">
        <f>+N108+J108</f>
        <v>0</v>
      </c>
      <c r="P108" s="27">
        <f>I108-O108</f>
        <v>0</v>
      </c>
      <c r="Q108" s="21"/>
    </row>
    <row r="109" spans="1:17" s="1" customFormat="1" ht="13.5" thickBot="1">
      <c r="A109" s="32" t="s">
        <v>44</v>
      </c>
      <c r="B109" s="33">
        <f aca="true" t="shared" si="32" ref="B109:P109">+B95+B99+B104</f>
        <v>849977000</v>
      </c>
      <c r="C109" s="33">
        <f t="shared" si="32"/>
        <v>0</v>
      </c>
      <c r="D109" s="33">
        <f t="shared" si="32"/>
        <v>0</v>
      </c>
      <c r="E109" s="33">
        <f t="shared" si="32"/>
        <v>0</v>
      </c>
      <c r="F109" s="33">
        <f t="shared" si="32"/>
        <v>0</v>
      </c>
      <c r="G109" s="33">
        <f t="shared" si="32"/>
        <v>0</v>
      </c>
      <c r="H109" s="33">
        <f t="shared" si="32"/>
        <v>0</v>
      </c>
      <c r="I109" s="33">
        <f t="shared" si="32"/>
        <v>0</v>
      </c>
      <c r="J109" s="33">
        <f t="shared" si="32"/>
        <v>801191954</v>
      </c>
      <c r="K109" s="33">
        <f t="shared" si="32"/>
        <v>0</v>
      </c>
      <c r="L109" s="33">
        <f t="shared" si="32"/>
        <v>0</v>
      </c>
      <c r="M109" s="33">
        <f t="shared" si="32"/>
        <v>0</v>
      </c>
      <c r="N109" s="33">
        <f t="shared" si="32"/>
        <v>267063984.66666666</v>
      </c>
      <c r="O109" s="33">
        <f t="shared" si="32"/>
        <v>1068255938.6666666</v>
      </c>
      <c r="P109" s="33">
        <f t="shared" si="32"/>
        <v>-1068255938.6666666</v>
      </c>
      <c r="Q109" s="35" t="e">
        <f>SUM(P109/I109)</f>
        <v>#DIV/0!</v>
      </c>
    </row>
    <row r="110" spans="1:17" ht="13.5" thickTop="1">
      <c r="A110" s="17"/>
      <c r="B110" s="18"/>
      <c r="C110" s="18"/>
      <c r="D110" s="18"/>
      <c r="E110" s="18"/>
      <c r="F110" s="20"/>
      <c r="G110" s="19"/>
      <c r="H110" s="20"/>
      <c r="I110" s="18"/>
      <c r="J110" s="20"/>
      <c r="K110" s="20"/>
      <c r="L110" s="20"/>
      <c r="M110" s="20"/>
      <c r="N110" s="20"/>
      <c r="O110" s="20"/>
      <c r="P110" s="18"/>
      <c r="Q110" s="21"/>
    </row>
    <row r="111" spans="1:17" ht="12.75">
      <c r="A111" s="17"/>
      <c r="B111" s="18"/>
      <c r="C111" s="18"/>
      <c r="D111" s="18"/>
      <c r="E111" s="18"/>
      <c r="F111" s="20"/>
      <c r="G111" s="19"/>
      <c r="H111" s="20"/>
      <c r="I111" s="18"/>
      <c r="J111" s="20"/>
      <c r="K111" s="20"/>
      <c r="L111" s="20"/>
      <c r="M111" s="20"/>
      <c r="N111" s="20"/>
      <c r="O111" s="20"/>
      <c r="P111" s="18"/>
      <c r="Q111" s="21"/>
    </row>
    <row r="112" spans="1:17" s="1" customFormat="1" ht="13.5" thickBot="1">
      <c r="A112" s="32" t="s">
        <v>46</v>
      </c>
      <c r="B112" s="33">
        <f aca="true" t="shared" si="33" ref="B112:P112">+B109+B91</f>
        <v>5922038000</v>
      </c>
      <c r="C112" s="33">
        <f t="shared" si="33"/>
        <v>113672000</v>
      </c>
      <c r="D112" s="33">
        <f t="shared" si="33"/>
        <v>5185733000</v>
      </c>
      <c r="E112" s="33">
        <f t="shared" si="33"/>
        <v>0</v>
      </c>
      <c r="F112" s="33">
        <f t="shared" si="33"/>
        <v>0</v>
      </c>
      <c r="G112" s="33">
        <f t="shared" si="33"/>
        <v>0</v>
      </c>
      <c r="H112" s="33">
        <f t="shared" si="33"/>
        <v>0</v>
      </c>
      <c r="I112" s="33">
        <f t="shared" si="33"/>
        <v>5185733000</v>
      </c>
      <c r="J112" s="33">
        <f t="shared" si="33"/>
        <v>4066140047</v>
      </c>
      <c r="K112" s="33">
        <f t="shared" si="33"/>
        <v>0</v>
      </c>
      <c r="L112" s="33">
        <f t="shared" si="33"/>
        <v>0</v>
      </c>
      <c r="M112" s="33">
        <f t="shared" si="33"/>
        <v>5185733000</v>
      </c>
      <c r="N112" s="33">
        <f t="shared" si="33"/>
        <v>2067530158.3333335</v>
      </c>
      <c r="O112" s="33">
        <f t="shared" si="33"/>
        <v>6133670205.333334</v>
      </c>
      <c r="P112" s="33">
        <f t="shared" si="33"/>
        <v>-947937205.3333333</v>
      </c>
      <c r="Q112" s="35">
        <f>SUM(P112/I112)</f>
        <v>-0.18279714850983134</v>
      </c>
    </row>
    <row r="113" spans="1:17" ht="13.5" thickTop="1">
      <c r="A113" s="17"/>
      <c r="B113" s="18"/>
      <c r="C113" s="18"/>
      <c r="D113" s="18"/>
      <c r="E113" s="18"/>
      <c r="F113" s="18"/>
      <c r="G113" s="19"/>
      <c r="H113" s="20"/>
      <c r="I113" s="18"/>
      <c r="J113" s="20"/>
      <c r="K113" s="20"/>
      <c r="L113" s="20"/>
      <c r="M113" s="20"/>
      <c r="N113" s="20"/>
      <c r="O113" s="20"/>
      <c r="P113" s="18"/>
      <c r="Q113" s="21"/>
    </row>
    <row r="114" spans="1:17" ht="12.75">
      <c r="A114" s="17" t="s">
        <v>47</v>
      </c>
      <c r="B114" s="18"/>
      <c r="C114" s="18"/>
      <c r="D114" s="18"/>
      <c r="E114" s="18"/>
      <c r="F114" s="18"/>
      <c r="G114" s="19"/>
      <c r="H114" s="20"/>
      <c r="I114" s="18"/>
      <c r="J114" s="20"/>
      <c r="K114" s="20"/>
      <c r="L114" s="20"/>
      <c r="M114" s="20"/>
      <c r="N114" s="20"/>
      <c r="O114" s="20"/>
      <c r="P114" s="18"/>
      <c r="Q114" s="21"/>
    </row>
    <row r="115" spans="1:17" ht="12.75">
      <c r="A115" s="17"/>
      <c r="B115" s="18"/>
      <c r="C115" s="18"/>
      <c r="D115" s="18"/>
      <c r="E115" s="18"/>
      <c r="F115" s="18"/>
      <c r="G115" s="19"/>
      <c r="H115" s="20"/>
      <c r="I115" s="18"/>
      <c r="J115" s="20"/>
      <c r="K115" s="20"/>
      <c r="L115" s="20"/>
      <c r="M115" s="20"/>
      <c r="N115" s="20"/>
      <c r="O115" s="20"/>
      <c r="P115" s="18"/>
      <c r="Q115" s="21"/>
    </row>
    <row r="116" spans="1:17" s="1" customFormat="1" ht="12.75">
      <c r="A116" s="17" t="s">
        <v>23</v>
      </c>
      <c r="B116" s="22">
        <f aca="true" t="shared" si="34" ref="B116:P116">SUM(B117:B119)</f>
        <v>3949180000</v>
      </c>
      <c r="C116" s="22">
        <f t="shared" si="34"/>
        <v>68516000</v>
      </c>
      <c r="D116" s="22">
        <f t="shared" si="34"/>
        <v>4017696000</v>
      </c>
      <c r="E116" s="22">
        <f t="shared" si="34"/>
        <v>-14556184</v>
      </c>
      <c r="F116" s="22">
        <f t="shared" si="34"/>
        <v>0</v>
      </c>
      <c r="G116" s="22">
        <f t="shared" si="34"/>
        <v>0</v>
      </c>
      <c r="H116" s="22">
        <f t="shared" si="34"/>
        <v>-14556184</v>
      </c>
      <c r="I116" s="22">
        <f t="shared" si="34"/>
        <v>4003139816</v>
      </c>
      <c r="J116" s="22">
        <f t="shared" si="34"/>
        <v>2518348638</v>
      </c>
      <c r="K116" s="22">
        <f t="shared" si="34"/>
        <v>-119834810</v>
      </c>
      <c r="L116" s="22">
        <f t="shared" si="34"/>
        <v>0</v>
      </c>
      <c r="M116" s="22">
        <f t="shared" si="34"/>
        <v>3883305006</v>
      </c>
      <c r="N116" s="22">
        <f t="shared" si="34"/>
        <v>1248333530.9999998</v>
      </c>
      <c r="O116" s="22">
        <f t="shared" si="34"/>
        <v>3766682169</v>
      </c>
      <c r="P116" s="22">
        <f t="shared" si="34"/>
        <v>116622837.00000001</v>
      </c>
      <c r="Q116" s="48">
        <f aca="true" t="shared" si="35" ref="Q116:Q128">SUM(P116/I116)</f>
        <v>0.029132841309682602</v>
      </c>
    </row>
    <row r="117" spans="1:18" s="30" customFormat="1" ht="12.75">
      <c r="A117" s="25" t="s">
        <v>24</v>
      </c>
      <c r="B117" s="27">
        <f aca="true" t="shared" si="36" ref="B117:P119">+B8+B25+B42+B59+B76</f>
        <v>2386896000</v>
      </c>
      <c r="C117" s="27">
        <f t="shared" si="36"/>
        <v>17093000</v>
      </c>
      <c r="D117" s="27">
        <f t="shared" si="36"/>
        <v>2403989000</v>
      </c>
      <c r="E117" s="27">
        <f t="shared" si="36"/>
        <v>0</v>
      </c>
      <c r="F117" s="27">
        <f t="shared" si="36"/>
        <v>0</v>
      </c>
      <c r="G117" s="27">
        <f t="shared" si="36"/>
        <v>0</v>
      </c>
      <c r="H117" s="27">
        <f t="shared" si="36"/>
        <v>0</v>
      </c>
      <c r="I117" s="27">
        <f t="shared" si="36"/>
        <v>2403989000</v>
      </c>
      <c r="J117" s="27">
        <f t="shared" si="36"/>
        <v>1677320630</v>
      </c>
      <c r="K117" s="27">
        <f t="shared" si="36"/>
        <v>0</v>
      </c>
      <c r="L117" s="27">
        <f t="shared" si="36"/>
        <v>0</v>
      </c>
      <c r="M117" s="27">
        <f t="shared" si="36"/>
        <v>2403989000</v>
      </c>
      <c r="N117" s="27">
        <f t="shared" si="36"/>
        <v>610045533.6666666</v>
      </c>
      <c r="O117" s="27">
        <f t="shared" si="36"/>
        <v>2287366163.6666665</v>
      </c>
      <c r="P117" s="27">
        <f t="shared" si="36"/>
        <v>116622836.33333327</v>
      </c>
      <c r="Q117" s="24">
        <f t="shared" si="35"/>
        <v>0.048512217124676224</v>
      </c>
      <c r="R117" s="4"/>
    </row>
    <row r="118" spans="1:18" s="30" customFormat="1" ht="12.75">
      <c r="A118" s="25" t="s">
        <v>25</v>
      </c>
      <c r="B118" s="27">
        <f t="shared" si="36"/>
        <v>1562284000</v>
      </c>
      <c r="C118" s="27">
        <f t="shared" si="36"/>
        <v>51423000</v>
      </c>
      <c r="D118" s="27">
        <f t="shared" si="36"/>
        <v>1613707000</v>
      </c>
      <c r="E118" s="27">
        <f t="shared" si="36"/>
        <v>-15950029</v>
      </c>
      <c r="F118" s="27">
        <f t="shared" si="36"/>
        <v>0</v>
      </c>
      <c r="G118" s="27">
        <f t="shared" si="36"/>
        <v>0</v>
      </c>
      <c r="H118" s="27">
        <f t="shared" si="36"/>
        <v>-15950029</v>
      </c>
      <c r="I118" s="27">
        <f t="shared" si="36"/>
        <v>1597756971</v>
      </c>
      <c r="J118" s="27">
        <f t="shared" si="36"/>
        <v>839982624</v>
      </c>
      <c r="K118" s="27">
        <f t="shared" si="36"/>
        <v>-119834810</v>
      </c>
      <c r="L118" s="27">
        <f t="shared" si="36"/>
        <v>0</v>
      </c>
      <c r="M118" s="27">
        <f t="shared" si="36"/>
        <v>1477922161</v>
      </c>
      <c r="N118" s="27">
        <f t="shared" si="36"/>
        <v>637939535.9999999</v>
      </c>
      <c r="O118" s="27">
        <f t="shared" si="36"/>
        <v>1477922160</v>
      </c>
      <c r="P118" s="27">
        <f t="shared" si="36"/>
        <v>1.0000000670552254</v>
      </c>
      <c r="Q118" s="24">
        <f t="shared" si="35"/>
        <v>6.258774552110687E-10</v>
      </c>
      <c r="R118" s="4"/>
    </row>
    <row r="119" spans="1:18" s="30" customFormat="1" ht="12.75">
      <c r="A119" s="25" t="s">
        <v>52</v>
      </c>
      <c r="B119" s="27">
        <f t="shared" si="36"/>
        <v>0</v>
      </c>
      <c r="C119" s="27">
        <f t="shared" si="36"/>
        <v>0</v>
      </c>
      <c r="D119" s="27">
        <f t="shared" si="36"/>
        <v>0</v>
      </c>
      <c r="E119" s="27">
        <f t="shared" si="36"/>
        <v>1393845</v>
      </c>
      <c r="F119" s="27">
        <f t="shared" si="36"/>
        <v>0</v>
      </c>
      <c r="G119" s="27">
        <f t="shared" si="36"/>
        <v>0</v>
      </c>
      <c r="H119" s="27">
        <f t="shared" si="36"/>
        <v>1393845</v>
      </c>
      <c r="I119" s="27">
        <f t="shared" si="36"/>
        <v>1393845</v>
      </c>
      <c r="J119" s="27">
        <f t="shared" si="36"/>
        <v>1045384</v>
      </c>
      <c r="K119" s="27">
        <f t="shared" si="36"/>
        <v>0</v>
      </c>
      <c r="L119" s="27">
        <f t="shared" si="36"/>
        <v>0</v>
      </c>
      <c r="M119" s="27">
        <f t="shared" si="36"/>
        <v>1393845</v>
      </c>
      <c r="N119" s="27">
        <f t="shared" si="36"/>
        <v>348461.3333333333</v>
      </c>
      <c r="O119" s="27">
        <f t="shared" si="36"/>
        <v>1393845.3333333333</v>
      </c>
      <c r="P119" s="27">
        <f t="shared" si="36"/>
        <v>-0.3333333333139308</v>
      </c>
      <c r="Q119" s="24">
        <f t="shared" si="35"/>
        <v>-2.3914662915455505E-07</v>
      </c>
      <c r="R119" s="4"/>
    </row>
    <row r="120" spans="1:17" s="1" customFormat="1" ht="12.75">
      <c r="A120" s="17" t="s">
        <v>29</v>
      </c>
      <c r="B120" s="22">
        <f aca="true" t="shared" si="37" ref="B120:J120">SUM(B121:B124)</f>
        <v>695622000</v>
      </c>
      <c r="C120" s="22">
        <f t="shared" si="37"/>
        <v>1511000</v>
      </c>
      <c r="D120" s="22">
        <f t="shared" si="37"/>
        <v>697133000</v>
      </c>
      <c r="E120" s="22">
        <f t="shared" si="37"/>
        <v>15039881</v>
      </c>
      <c r="F120" s="22">
        <f t="shared" si="37"/>
        <v>0</v>
      </c>
      <c r="G120" s="22">
        <f t="shared" si="37"/>
        <v>0</v>
      </c>
      <c r="H120" s="22">
        <f t="shared" si="37"/>
        <v>14556184</v>
      </c>
      <c r="I120" s="22">
        <f t="shared" si="37"/>
        <v>711689184</v>
      </c>
      <c r="J120" s="22">
        <f t="shared" si="37"/>
        <v>537875476</v>
      </c>
      <c r="K120" s="22">
        <f>SUM(K121:K124)</f>
        <v>0</v>
      </c>
      <c r="L120" s="22">
        <f>SUM(L121:L124)</f>
        <v>0</v>
      </c>
      <c r="M120" s="22">
        <f>SUM(M121:M124)</f>
        <v>711689184</v>
      </c>
      <c r="N120" s="22">
        <f>SUM(N121:N124)</f>
        <v>170159491.99999997</v>
      </c>
      <c r="O120" s="22">
        <f>SUM(O121:O124)</f>
        <v>708034967.9999999</v>
      </c>
      <c r="P120" s="22">
        <f>+P121+P122+P123+P124</f>
        <v>3654215.9999999995</v>
      </c>
      <c r="Q120" s="24">
        <f t="shared" si="35"/>
        <v>0.0051345672832369465</v>
      </c>
    </row>
    <row r="121" spans="1:18" s="30" customFormat="1" ht="12.75">
      <c r="A121" s="25" t="s">
        <v>53</v>
      </c>
      <c r="B121" s="27">
        <f aca="true" t="shared" si="38" ref="B121:P124">+B12+B29+B46+B63+B80</f>
        <v>7777000</v>
      </c>
      <c r="C121" s="27">
        <f t="shared" si="38"/>
        <v>7000</v>
      </c>
      <c r="D121" s="27">
        <f t="shared" si="38"/>
        <v>7784000</v>
      </c>
      <c r="E121" s="27">
        <f t="shared" si="38"/>
        <v>82448</v>
      </c>
      <c r="F121" s="27">
        <f t="shared" si="38"/>
        <v>0</v>
      </c>
      <c r="G121" s="27">
        <f t="shared" si="38"/>
        <v>0</v>
      </c>
      <c r="H121" s="27">
        <f t="shared" si="38"/>
        <v>82448</v>
      </c>
      <c r="I121" s="27">
        <f t="shared" si="38"/>
        <v>7866448</v>
      </c>
      <c r="J121" s="27">
        <f t="shared" si="38"/>
        <v>5342456</v>
      </c>
      <c r="K121" s="27">
        <f t="shared" si="38"/>
        <v>0</v>
      </c>
      <c r="L121" s="27">
        <f t="shared" si="38"/>
        <v>0</v>
      </c>
      <c r="M121" s="27">
        <f t="shared" si="38"/>
        <v>7866448</v>
      </c>
      <c r="N121" s="27">
        <f t="shared" si="38"/>
        <v>1780818.6666666663</v>
      </c>
      <c r="O121" s="27">
        <f t="shared" si="38"/>
        <v>7123274.666666665</v>
      </c>
      <c r="P121" s="27">
        <f t="shared" si="38"/>
        <v>743173.3333333337</v>
      </c>
      <c r="Q121" s="24">
        <f t="shared" si="35"/>
        <v>0.0944738124924151</v>
      </c>
      <c r="R121" s="4"/>
    </row>
    <row r="122" spans="1:18" s="30" customFormat="1" ht="12.75">
      <c r="A122" s="25" t="s">
        <v>54</v>
      </c>
      <c r="B122" s="27">
        <f t="shared" si="38"/>
        <v>685407000</v>
      </c>
      <c r="C122" s="27">
        <f t="shared" si="38"/>
        <v>0</v>
      </c>
      <c r="D122" s="27">
        <f t="shared" si="38"/>
        <v>685407000</v>
      </c>
      <c r="E122" s="27">
        <f>+E12+E30+E47+E64+E81</f>
        <v>743006</v>
      </c>
      <c r="F122" s="27">
        <f t="shared" si="38"/>
        <v>0</v>
      </c>
      <c r="G122" s="27">
        <f t="shared" si="38"/>
        <v>0</v>
      </c>
      <c r="H122" s="27">
        <f t="shared" si="38"/>
        <v>259309</v>
      </c>
      <c r="I122" s="27">
        <f t="shared" si="38"/>
        <v>685666309</v>
      </c>
      <c r="J122" s="27">
        <f t="shared" si="38"/>
        <v>518915700</v>
      </c>
      <c r="K122" s="27">
        <f t="shared" si="38"/>
        <v>0</v>
      </c>
      <c r="L122" s="27">
        <f t="shared" si="38"/>
        <v>0</v>
      </c>
      <c r="M122" s="27">
        <f t="shared" si="38"/>
        <v>685666309</v>
      </c>
      <c r="N122" s="27">
        <f t="shared" si="38"/>
        <v>163839566.66666666</v>
      </c>
      <c r="O122" s="27">
        <f t="shared" si="38"/>
        <v>682755266.6666666</v>
      </c>
      <c r="P122" s="27">
        <f t="shared" si="38"/>
        <v>2911042.3333333335</v>
      </c>
      <c r="Q122" s="24">
        <f t="shared" si="35"/>
        <v>0.004245567114970109</v>
      </c>
      <c r="R122" s="4"/>
    </row>
    <row r="123" spans="1:18" s="30" customFormat="1" ht="12.75">
      <c r="A123" s="25" t="s">
        <v>55</v>
      </c>
      <c r="B123" s="27">
        <f t="shared" si="38"/>
        <v>2438000</v>
      </c>
      <c r="C123" s="27">
        <f t="shared" si="38"/>
        <v>1504000</v>
      </c>
      <c r="D123" s="27">
        <f t="shared" si="38"/>
        <v>3942000</v>
      </c>
      <c r="E123" s="27">
        <f>+E14+E31+E48+E65+E82</f>
        <v>1211480</v>
      </c>
      <c r="F123" s="27">
        <f t="shared" si="38"/>
        <v>0</v>
      </c>
      <c r="G123" s="27">
        <f t="shared" si="38"/>
        <v>0</v>
      </c>
      <c r="H123" s="27">
        <f t="shared" si="38"/>
        <v>1211480</v>
      </c>
      <c r="I123" s="27">
        <f t="shared" si="38"/>
        <v>5153480</v>
      </c>
      <c r="J123" s="27">
        <f t="shared" si="38"/>
        <v>3865110</v>
      </c>
      <c r="K123" s="27">
        <f t="shared" si="38"/>
        <v>0</v>
      </c>
      <c r="L123" s="27">
        <f t="shared" si="38"/>
        <v>0</v>
      </c>
      <c r="M123" s="27">
        <f t="shared" si="38"/>
        <v>5153480</v>
      </c>
      <c r="N123" s="27">
        <f t="shared" si="38"/>
        <v>1288370</v>
      </c>
      <c r="O123" s="27">
        <f t="shared" si="38"/>
        <v>5153480</v>
      </c>
      <c r="P123" s="27">
        <f t="shared" si="38"/>
        <v>0</v>
      </c>
      <c r="Q123" s="24">
        <f t="shared" si="35"/>
        <v>0</v>
      </c>
      <c r="R123" s="4"/>
    </row>
    <row r="124" spans="1:18" s="30" customFormat="1" ht="12.75">
      <c r="A124" s="25" t="s">
        <v>56</v>
      </c>
      <c r="B124" s="27">
        <f t="shared" si="38"/>
        <v>0</v>
      </c>
      <c r="C124" s="27">
        <f t="shared" si="38"/>
        <v>0</v>
      </c>
      <c r="D124" s="27">
        <f t="shared" si="38"/>
        <v>0</v>
      </c>
      <c r="E124" s="27">
        <f>+E15+E32+E49+E66+E83</f>
        <v>13002947</v>
      </c>
      <c r="F124" s="27">
        <f t="shared" si="38"/>
        <v>0</v>
      </c>
      <c r="G124" s="27">
        <f t="shared" si="38"/>
        <v>0</v>
      </c>
      <c r="H124" s="27">
        <f t="shared" si="38"/>
        <v>13002947</v>
      </c>
      <c r="I124" s="27">
        <f t="shared" si="38"/>
        <v>13002947</v>
      </c>
      <c r="J124" s="27">
        <f t="shared" si="38"/>
        <v>9752210</v>
      </c>
      <c r="K124" s="27">
        <f t="shared" si="38"/>
        <v>0</v>
      </c>
      <c r="L124" s="27">
        <f t="shared" si="38"/>
        <v>0</v>
      </c>
      <c r="M124" s="27">
        <f t="shared" si="38"/>
        <v>13002947</v>
      </c>
      <c r="N124" s="27">
        <f t="shared" si="38"/>
        <v>3250736.666666667</v>
      </c>
      <c r="O124" s="27">
        <f t="shared" si="38"/>
        <v>13002946.666666668</v>
      </c>
      <c r="P124" s="27">
        <f t="shared" si="38"/>
        <v>0.3333333323826082</v>
      </c>
      <c r="Q124" s="24">
        <f t="shared" si="35"/>
        <v>2.5635214262013697E-08</v>
      </c>
      <c r="R124" s="4"/>
    </row>
    <row r="125" spans="1:18" s="1" customFormat="1" ht="12.75">
      <c r="A125" s="17" t="s">
        <v>35</v>
      </c>
      <c r="B125" s="22">
        <f>SUM(B126:B128)</f>
        <v>427259000</v>
      </c>
      <c r="C125" s="22">
        <f>SUM(C126:C128)</f>
        <v>43645000</v>
      </c>
      <c r="D125" s="22">
        <f>SUM(D126:D128)</f>
        <v>470904000</v>
      </c>
      <c r="E125" s="22">
        <f aca="true" t="shared" si="39" ref="E125:N125">SUM(E126:E128)</f>
        <v>0</v>
      </c>
      <c r="F125" s="22">
        <f t="shared" si="39"/>
        <v>0</v>
      </c>
      <c r="G125" s="22">
        <f t="shared" si="39"/>
        <v>0</v>
      </c>
      <c r="H125" s="22">
        <f t="shared" si="39"/>
        <v>0</v>
      </c>
      <c r="I125" s="22">
        <f t="shared" si="39"/>
        <v>470904000</v>
      </c>
      <c r="J125" s="22">
        <f t="shared" si="39"/>
        <v>208723979</v>
      </c>
      <c r="K125" s="22">
        <f>SUM(K126:K128)</f>
        <v>119834810</v>
      </c>
      <c r="L125" s="22">
        <f>SUM(L126:L128)</f>
        <v>0</v>
      </c>
      <c r="M125" s="22">
        <f>SUM(M126:M128)</f>
        <v>590738810</v>
      </c>
      <c r="N125" s="22">
        <f t="shared" si="39"/>
        <v>381973150.6666667</v>
      </c>
      <c r="O125" s="22">
        <f>SUM(O126:O128)</f>
        <v>590697129.6666666</v>
      </c>
      <c r="P125" s="22">
        <f>SUM(P126:P128)</f>
        <v>41680.333333333256</v>
      </c>
      <c r="Q125" s="48">
        <f t="shared" si="35"/>
        <v>8.851131723946548E-05</v>
      </c>
      <c r="R125" s="31"/>
    </row>
    <row r="126" spans="1:18" s="30" customFormat="1" ht="12.75">
      <c r="A126" s="25" t="s">
        <v>36</v>
      </c>
      <c r="B126" s="27">
        <f aca="true" t="shared" si="40" ref="B126:P128">+B17+B34+B51+B68+B85</f>
        <v>258134000</v>
      </c>
      <c r="C126" s="27">
        <f t="shared" si="40"/>
        <v>59841000</v>
      </c>
      <c r="D126" s="27">
        <f t="shared" si="40"/>
        <v>317975000</v>
      </c>
      <c r="E126" s="27">
        <f t="shared" si="40"/>
        <v>7364</v>
      </c>
      <c r="F126" s="27">
        <f t="shared" si="40"/>
        <v>1441985</v>
      </c>
      <c r="G126" s="27">
        <f t="shared" si="40"/>
        <v>0</v>
      </c>
      <c r="H126" s="27">
        <f t="shared" si="40"/>
        <v>1449349</v>
      </c>
      <c r="I126" s="27">
        <f t="shared" si="40"/>
        <v>319424349</v>
      </c>
      <c r="J126" s="27">
        <f t="shared" si="40"/>
        <v>170708414</v>
      </c>
      <c r="K126" s="27">
        <f t="shared" si="40"/>
        <v>0</v>
      </c>
      <c r="L126" s="27">
        <f t="shared" si="40"/>
        <v>0</v>
      </c>
      <c r="M126" s="27">
        <f t="shared" si="40"/>
        <v>319424349</v>
      </c>
      <c r="N126" s="27">
        <f t="shared" si="40"/>
        <v>148715935.66666666</v>
      </c>
      <c r="O126" s="27">
        <f t="shared" si="40"/>
        <v>319424349.6666666</v>
      </c>
      <c r="P126" s="27">
        <f t="shared" si="40"/>
        <v>-0.6666666467208415</v>
      </c>
      <c r="Q126" s="24">
        <f t="shared" si="35"/>
        <v>-2.0870877527274587E-09</v>
      </c>
      <c r="R126" s="4"/>
    </row>
    <row r="127" spans="1:18" s="30" customFormat="1" ht="12.75">
      <c r="A127" s="25" t="s">
        <v>37</v>
      </c>
      <c r="B127" s="27">
        <f t="shared" si="40"/>
        <v>167341000</v>
      </c>
      <c r="C127" s="27">
        <f t="shared" si="40"/>
        <v>-16206000</v>
      </c>
      <c r="D127" s="27">
        <f t="shared" si="40"/>
        <v>151135000</v>
      </c>
      <c r="E127" s="27">
        <f t="shared" si="40"/>
        <v>-37676</v>
      </c>
      <c r="F127" s="27">
        <f t="shared" si="40"/>
        <v>-46170</v>
      </c>
      <c r="G127" s="27">
        <f t="shared" si="40"/>
        <v>0</v>
      </c>
      <c r="H127" s="27">
        <f t="shared" si="40"/>
        <v>-83846</v>
      </c>
      <c r="I127" s="27">
        <f t="shared" si="40"/>
        <v>151051154</v>
      </c>
      <c r="J127" s="27">
        <f t="shared" si="40"/>
        <v>37725453</v>
      </c>
      <c r="K127" s="27">
        <f t="shared" si="40"/>
        <v>119834810</v>
      </c>
      <c r="L127" s="27">
        <f t="shared" si="40"/>
        <v>0</v>
      </c>
      <c r="M127" s="27">
        <f t="shared" si="40"/>
        <v>270885964</v>
      </c>
      <c r="N127" s="27">
        <f t="shared" si="40"/>
        <v>233160511.00000003</v>
      </c>
      <c r="O127" s="27">
        <f t="shared" si="40"/>
        <v>270885964</v>
      </c>
      <c r="P127" s="27">
        <f t="shared" si="40"/>
        <v>-2.0023435354232788E-08</v>
      </c>
      <c r="Q127" s="24">
        <f t="shared" si="35"/>
        <v>-1.325606248213952E-16</v>
      </c>
      <c r="R127" s="4"/>
    </row>
    <row r="128" spans="1:18" s="30" customFormat="1" ht="12.75">
      <c r="A128" s="25" t="s">
        <v>38</v>
      </c>
      <c r="B128" s="27">
        <f t="shared" si="40"/>
        <v>1784000</v>
      </c>
      <c r="C128" s="27">
        <f t="shared" si="40"/>
        <v>10000</v>
      </c>
      <c r="D128" s="27">
        <f t="shared" si="40"/>
        <v>1794000</v>
      </c>
      <c r="E128" s="27">
        <f t="shared" si="40"/>
        <v>30312</v>
      </c>
      <c r="F128" s="27">
        <f t="shared" si="40"/>
        <v>-1395815</v>
      </c>
      <c r="G128" s="27">
        <f t="shared" si="40"/>
        <v>0</v>
      </c>
      <c r="H128" s="27">
        <f t="shared" si="40"/>
        <v>-1365503</v>
      </c>
      <c r="I128" s="27">
        <f t="shared" si="40"/>
        <v>428497</v>
      </c>
      <c r="J128" s="27">
        <f t="shared" si="40"/>
        <v>290112</v>
      </c>
      <c r="K128" s="27">
        <f t="shared" si="40"/>
        <v>0</v>
      </c>
      <c r="L128" s="27">
        <f t="shared" si="40"/>
        <v>0</v>
      </c>
      <c r="M128" s="27">
        <f t="shared" si="40"/>
        <v>428497</v>
      </c>
      <c r="N128" s="27">
        <f t="shared" si="40"/>
        <v>96704</v>
      </c>
      <c r="O128" s="27">
        <f t="shared" si="40"/>
        <v>386816</v>
      </c>
      <c r="P128" s="27">
        <f t="shared" si="40"/>
        <v>41681</v>
      </c>
      <c r="Q128" s="24">
        <f t="shared" si="35"/>
        <v>0.09727255966786232</v>
      </c>
      <c r="R128" s="4"/>
    </row>
    <row r="129" spans="1:17" s="1" customFormat="1" ht="13.5" thickBot="1">
      <c r="A129" s="32" t="s">
        <v>0</v>
      </c>
      <c r="B129" s="33">
        <f aca="true" t="shared" si="41" ref="B129:P129">+B125+B120+B116</f>
        <v>5072061000</v>
      </c>
      <c r="C129" s="33">
        <f t="shared" si="41"/>
        <v>113672000</v>
      </c>
      <c r="D129" s="33">
        <f t="shared" si="41"/>
        <v>5185733000</v>
      </c>
      <c r="E129" s="33">
        <f t="shared" si="41"/>
        <v>483697</v>
      </c>
      <c r="F129" s="33">
        <f t="shared" si="41"/>
        <v>0</v>
      </c>
      <c r="G129" s="33">
        <f t="shared" si="41"/>
        <v>0</v>
      </c>
      <c r="H129" s="33">
        <f t="shared" si="41"/>
        <v>0</v>
      </c>
      <c r="I129" s="33">
        <f t="shared" si="41"/>
        <v>5185733000</v>
      </c>
      <c r="J129" s="33">
        <f t="shared" si="41"/>
        <v>3264948093</v>
      </c>
      <c r="K129" s="33">
        <f t="shared" si="41"/>
        <v>0</v>
      </c>
      <c r="L129" s="33">
        <f t="shared" si="41"/>
        <v>0</v>
      </c>
      <c r="M129" s="33">
        <f t="shared" si="41"/>
        <v>5185733000</v>
      </c>
      <c r="N129" s="33">
        <f t="shared" si="41"/>
        <v>1800466173.6666665</v>
      </c>
      <c r="O129" s="33">
        <f t="shared" si="41"/>
        <v>5065414266.666666</v>
      </c>
      <c r="P129" s="33">
        <f t="shared" si="41"/>
        <v>120318733.33333334</v>
      </c>
      <c r="Q129" s="35">
        <f>SUM(P129/I129)</f>
        <v>0.023201875864672043</v>
      </c>
    </row>
    <row r="130" ht="13.5" thickTop="1"/>
    <row r="131" ht="12.75">
      <c r="A131" t="s">
        <v>61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0"/>
  <sheetViews>
    <sheetView tabSelected="1" zoomScale="150" zoomScaleNormal="150" workbookViewId="0" topLeftCell="K1">
      <selection activeCell="K8" sqref="K8"/>
    </sheetView>
  </sheetViews>
  <sheetFormatPr defaultColWidth="9.140625" defaultRowHeight="12.75"/>
  <cols>
    <col min="1" max="1" width="36.57421875" style="0" customWidth="1"/>
    <col min="2" max="2" width="18.57421875" style="0" customWidth="1"/>
    <col min="3" max="3" width="17.28125" style="0" customWidth="1"/>
    <col min="4" max="4" width="20.140625" style="0" customWidth="1"/>
    <col min="5" max="5" width="14.421875" style="0" customWidth="1"/>
    <col min="6" max="6" width="16.00390625" style="0" customWidth="1"/>
    <col min="7" max="7" width="13.140625" style="0" customWidth="1"/>
    <col min="8" max="8" width="15.7109375" style="2" bestFit="1" customWidth="1"/>
    <col min="9" max="9" width="20.57421875" style="0" customWidth="1"/>
    <col min="10" max="10" width="19.00390625" style="2" bestFit="1" customWidth="1"/>
    <col min="11" max="11" width="19.00390625" style="55" customWidth="1"/>
    <col min="12" max="12" width="19.00390625" style="2" customWidth="1"/>
    <col min="13" max="13" width="20.140625" style="0" customWidth="1"/>
    <col min="14" max="14" width="11.421875" style="49" bestFit="1" customWidth="1"/>
    <col min="15" max="15" width="16.00390625" style="0" bestFit="1" customWidth="1"/>
    <col min="16" max="16" width="11.7109375" style="0" bestFit="1" customWidth="1"/>
  </cols>
  <sheetData>
    <row r="1" spans="1:14" ht="18">
      <c r="A1" s="5" t="s">
        <v>1</v>
      </c>
      <c r="M1" s="1" t="s">
        <v>2</v>
      </c>
      <c r="N1" s="6"/>
    </row>
    <row r="2" ht="12.75">
      <c r="N2" s="6"/>
    </row>
    <row r="3" spans="1:14" ht="15.7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7</v>
      </c>
      <c r="G3" s="9" t="s">
        <v>7</v>
      </c>
      <c r="H3" s="10" t="s">
        <v>7</v>
      </c>
      <c r="I3" s="8" t="s">
        <v>6</v>
      </c>
      <c r="J3" s="10" t="s">
        <v>8</v>
      </c>
      <c r="K3" s="56" t="s">
        <v>9</v>
      </c>
      <c r="L3" s="10" t="s">
        <v>10</v>
      </c>
      <c r="M3" s="8" t="s">
        <v>11</v>
      </c>
      <c r="N3" s="11" t="s">
        <v>12</v>
      </c>
    </row>
    <row r="4" spans="1:14" ht="15.75">
      <c r="A4" s="7"/>
      <c r="B4" s="8" t="s">
        <v>13</v>
      </c>
      <c r="C4" s="8" t="s">
        <v>14</v>
      </c>
      <c r="D4" s="8" t="s">
        <v>15</v>
      </c>
      <c r="E4" s="8" t="s">
        <v>16</v>
      </c>
      <c r="F4" s="8" t="s">
        <v>17</v>
      </c>
      <c r="G4" s="9" t="s">
        <v>18</v>
      </c>
      <c r="H4" s="10" t="s">
        <v>6</v>
      </c>
      <c r="I4" s="8" t="s">
        <v>13</v>
      </c>
      <c r="J4" s="10" t="s">
        <v>19</v>
      </c>
      <c r="K4" s="56" t="s">
        <v>20</v>
      </c>
      <c r="L4" s="10" t="s">
        <v>6</v>
      </c>
      <c r="M4" s="8" t="s">
        <v>21</v>
      </c>
      <c r="N4" s="11"/>
    </row>
    <row r="5" spans="1:14" ht="13.5" thickBot="1">
      <c r="A5" s="12"/>
      <c r="B5" s="13"/>
      <c r="C5" s="13"/>
      <c r="D5" s="13"/>
      <c r="E5" s="13"/>
      <c r="F5" s="13"/>
      <c r="G5" s="14"/>
      <c r="H5" s="15"/>
      <c r="I5" s="13"/>
      <c r="J5" s="15"/>
      <c r="K5" s="57"/>
      <c r="L5" s="15" t="s">
        <v>8</v>
      </c>
      <c r="M5" s="13"/>
      <c r="N5" s="16"/>
    </row>
    <row r="6" spans="1:14" ht="13.5" thickTop="1">
      <c r="A6" s="17" t="s">
        <v>22</v>
      </c>
      <c r="B6" s="18"/>
      <c r="C6" s="18"/>
      <c r="D6" s="18"/>
      <c r="E6" s="18"/>
      <c r="F6" s="18"/>
      <c r="G6" s="19"/>
      <c r="H6" s="20"/>
      <c r="I6" s="18"/>
      <c r="J6" s="20"/>
      <c r="K6" s="58"/>
      <c r="L6" s="20"/>
      <c r="M6" s="18"/>
      <c r="N6" s="21"/>
    </row>
    <row r="7" spans="1:14" s="1" customFormat="1" ht="12.75">
      <c r="A7" s="17" t="s">
        <v>23</v>
      </c>
      <c r="B7" s="22">
        <f>SUM(B8:B12)</f>
        <v>361818000</v>
      </c>
      <c r="C7" s="22">
        <f aca="true" t="shared" si="0" ref="C7:M7">SUM(C8:C12)</f>
        <v>16721000</v>
      </c>
      <c r="D7" s="22">
        <f t="shared" si="0"/>
        <v>378539000</v>
      </c>
      <c r="E7" s="22">
        <f t="shared" si="0"/>
        <v>0</v>
      </c>
      <c r="F7" s="22">
        <f t="shared" si="0"/>
        <v>0</v>
      </c>
      <c r="G7" s="22">
        <f t="shared" si="0"/>
        <v>0</v>
      </c>
      <c r="H7" s="23">
        <f t="shared" si="0"/>
        <v>0</v>
      </c>
      <c r="I7" s="22">
        <f t="shared" si="0"/>
        <v>378539000</v>
      </c>
      <c r="J7" s="22">
        <f t="shared" si="0"/>
        <v>232534026</v>
      </c>
      <c r="K7" s="59">
        <f t="shared" si="0"/>
        <v>77511341.99999999</v>
      </c>
      <c r="L7" s="22">
        <f t="shared" si="0"/>
        <v>310045367.99999994</v>
      </c>
      <c r="M7" s="22">
        <f t="shared" si="0"/>
        <v>68493632.00000001</v>
      </c>
      <c r="N7" s="24">
        <f aca="true" t="shared" si="1" ref="N7:N22">SUM(M7/I7)</f>
        <v>0.18094207466073514</v>
      </c>
    </row>
    <row r="8" spans="1:14" s="30" customFormat="1" ht="12.75">
      <c r="A8" s="25" t="s">
        <v>24</v>
      </c>
      <c r="B8" s="26">
        <v>152669000</v>
      </c>
      <c r="C8" s="27">
        <v>6347000</v>
      </c>
      <c r="D8" s="27">
        <f>SUM(B8:C8)</f>
        <v>159016000</v>
      </c>
      <c r="E8" s="27"/>
      <c r="F8" s="27"/>
      <c r="G8" s="28"/>
      <c r="H8" s="29">
        <f>SUM(E8:G8)</f>
        <v>0</v>
      </c>
      <c r="I8" s="27">
        <f>SUM(D8+H8)</f>
        <v>159016000</v>
      </c>
      <c r="J8" s="29">
        <f>113614829+63622</f>
        <v>113678451</v>
      </c>
      <c r="K8" s="47">
        <f>+J8/9*3</f>
        <v>37892817</v>
      </c>
      <c r="L8" s="29">
        <f>+K8+J8</f>
        <v>151571268</v>
      </c>
      <c r="M8" s="27">
        <f>I8-L8</f>
        <v>7444732</v>
      </c>
      <c r="N8" s="24">
        <f t="shared" si="1"/>
        <v>0.046817502641243645</v>
      </c>
    </row>
    <row r="9" spans="1:14" s="30" customFormat="1" ht="12.75">
      <c r="A9" s="25" t="s">
        <v>25</v>
      </c>
      <c r="B9" s="26">
        <v>209149000</v>
      </c>
      <c r="C9" s="27">
        <f>3474000+6900000</f>
        <v>10374000</v>
      </c>
      <c r="D9" s="27">
        <f>SUM(B9:C9)</f>
        <v>219523000</v>
      </c>
      <c r="E9" s="27">
        <v>-463681</v>
      </c>
      <c r="F9" s="27"/>
      <c r="G9" s="28"/>
      <c r="H9" s="29">
        <f>SUM(E9:G9)</f>
        <v>-463681</v>
      </c>
      <c r="I9" s="27">
        <f>SUM(D9+H9)</f>
        <v>219059319</v>
      </c>
      <c r="J9" s="29">
        <f>118507619+195</f>
        <v>118507814</v>
      </c>
      <c r="K9" s="47">
        <f>+J9/9*3</f>
        <v>39502604.666666664</v>
      </c>
      <c r="L9" s="29">
        <f>+K9+J9</f>
        <v>158010418.66666666</v>
      </c>
      <c r="M9" s="27">
        <f>I9-L9</f>
        <v>61048900.33333334</v>
      </c>
      <c r="N9" s="24">
        <f t="shared" si="1"/>
        <v>0.27868661608198164</v>
      </c>
    </row>
    <row r="10" spans="1:14" s="30" customFormat="1" ht="12.75">
      <c r="A10" s="25" t="s">
        <v>26</v>
      </c>
      <c r="B10" s="27"/>
      <c r="C10" s="27"/>
      <c r="D10" s="27">
        <f aca="true" t="shared" si="2" ref="D10:D22">SUM(B10:C10)</f>
        <v>0</v>
      </c>
      <c r="E10" s="27"/>
      <c r="G10" s="28"/>
      <c r="H10" s="29">
        <f>SUM(E10:G10)</f>
        <v>0</v>
      </c>
      <c r="I10" s="27">
        <f>SUM(D10+H10)</f>
        <v>0</v>
      </c>
      <c r="J10" s="29"/>
      <c r="K10" s="47">
        <f>+J10/9*3</f>
        <v>0</v>
      </c>
      <c r="L10" s="29">
        <f>+K10+J10</f>
        <v>0</v>
      </c>
      <c r="M10" s="27">
        <f>I10-L10</f>
        <v>0</v>
      </c>
      <c r="N10" s="24" t="e">
        <f t="shared" si="1"/>
        <v>#DIV/0!</v>
      </c>
    </row>
    <row r="11" spans="1:14" s="30" customFormat="1" ht="12.75">
      <c r="A11" s="25" t="s">
        <v>27</v>
      </c>
      <c r="B11" s="27"/>
      <c r="C11" s="27"/>
      <c r="D11" s="27">
        <f t="shared" si="2"/>
        <v>0</v>
      </c>
      <c r="E11" s="27">
        <v>463681</v>
      </c>
      <c r="F11" s="27"/>
      <c r="G11" s="28"/>
      <c r="H11" s="29">
        <f>SUM(E11:G11)</f>
        <v>463681</v>
      </c>
      <c r="I11" s="27">
        <f>SUM(D11+H11)</f>
        <v>463681</v>
      </c>
      <c r="J11" s="29">
        <f>19761+328000</f>
        <v>347761</v>
      </c>
      <c r="K11" s="47">
        <f>+J11/9*3</f>
        <v>115920.33333333333</v>
      </c>
      <c r="L11" s="29">
        <f>+K11+J11</f>
        <v>463681.3333333333</v>
      </c>
      <c r="M11" s="27">
        <f>I11-L11</f>
        <v>-0.3333333333139308</v>
      </c>
      <c r="N11" s="24">
        <f t="shared" si="1"/>
        <v>-7.188850380195237E-07</v>
      </c>
    </row>
    <row r="12" spans="1:14" s="30" customFormat="1" ht="12.75">
      <c r="A12" s="25" t="s">
        <v>28</v>
      </c>
      <c r="B12" s="27"/>
      <c r="C12" s="27"/>
      <c r="D12" s="27"/>
      <c r="E12" s="27"/>
      <c r="F12" s="27"/>
      <c r="G12" s="28"/>
      <c r="H12" s="29">
        <f>SUM(E12:G12)</f>
        <v>0</v>
      </c>
      <c r="I12" s="27">
        <f>SUM(D12+H12)</f>
        <v>0</v>
      </c>
      <c r="J12" s="29"/>
      <c r="K12" s="47">
        <f>+J12/9*3</f>
        <v>0</v>
      </c>
      <c r="L12" s="29">
        <f>+K12+J12</f>
        <v>0</v>
      </c>
      <c r="M12" s="27">
        <f>I12-L12</f>
        <v>0</v>
      </c>
      <c r="N12" s="24" t="e">
        <f t="shared" si="1"/>
        <v>#DIV/0!</v>
      </c>
    </row>
    <row r="13" spans="1:14" s="1" customFormat="1" ht="12.75">
      <c r="A13" s="17" t="s">
        <v>29</v>
      </c>
      <c r="B13" s="22">
        <f>SUM(B14:B18)</f>
        <v>3646000</v>
      </c>
      <c r="C13" s="22">
        <f aca="true" t="shared" si="3" ref="C13:M13">SUM(C14:C18)</f>
        <v>3000</v>
      </c>
      <c r="D13" s="22">
        <f t="shared" si="3"/>
        <v>3649000</v>
      </c>
      <c r="E13" s="22">
        <f>SUM(E14:E18)</f>
        <v>0</v>
      </c>
      <c r="F13" s="22">
        <f t="shared" si="3"/>
        <v>0</v>
      </c>
      <c r="G13" s="22">
        <f t="shared" si="3"/>
        <v>0</v>
      </c>
      <c r="H13" s="23">
        <f t="shared" si="3"/>
        <v>0</v>
      </c>
      <c r="I13" s="22">
        <f t="shared" si="3"/>
        <v>3649000</v>
      </c>
      <c r="J13" s="22">
        <f t="shared" si="3"/>
        <v>553468</v>
      </c>
      <c r="K13" s="59">
        <f t="shared" si="3"/>
        <v>184489.3333333333</v>
      </c>
      <c r="L13" s="22">
        <f t="shared" si="3"/>
        <v>737957.3333333333</v>
      </c>
      <c r="M13" s="22">
        <f t="shared" si="3"/>
        <v>2911042.666666667</v>
      </c>
      <c r="N13" s="24">
        <f t="shared" si="1"/>
        <v>0.7977645016899608</v>
      </c>
    </row>
    <row r="14" spans="1:14" s="30" customFormat="1" ht="12.75">
      <c r="A14" s="25" t="s">
        <v>30</v>
      </c>
      <c r="B14" s="27">
        <v>360000</v>
      </c>
      <c r="C14" s="27">
        <v>3000</v>
      </c>
      <c r="D14" s="27">
        <f t="shared" si="2"/>
        <v>363000</v>
      </c>
      <c r="E14" s="27">
        <v>108739</v>
      </c>
      <c r="G14" s="28"/>
      <c r="H14" s="29">
        <f>SUM(E14:G14)</f>
        <v>108739</v>
      </c>
      <c r="I14" s="27">
        <f aca="true" t="shared" si="4" ref="I14:I22">SUM(D14+H14)</f>
        <v>471739</v>
      </c>
      <c r="J14" s="29">
        <v>353804</v>
      </c>
      <c r="K14" s="47">
        <f>+J14/9*3</f>
        <v>117934.66666666666</v>
      </c>
      <c r="L14" s="29">
        <f>+K14+J14</f>
        <v>471738.6666666666</v>
      </c>
      <c r="M14" s="27">
        <f aca="true" t="shared" si="5" ref="M14:M22">I14-L14</f>
        <v>0.33333333337213844</v>
      </c>
      <c r="N14" s="24">
        <f>SUM(M14/I14)</f>
        <v>7.066054181912847E-07</v>
      </c>
    </row>
    <row r="15" spans="1:14" s="30" customFormat="1" ht="12.75">
      <c r="A15" s="25" t="s">
        <v>31</v>
      </c>
      <c r="B15" s="27">
        <v>3286000</v>
      </c>
      <c r="C15" s="27"/>
      <c r="D15" s="27">
        <f t="shared" si="2"/>
        <v>3286000</v>
      </c>
      <c r="E15" s="30">
        <v>-374958</v>
      </c>
      <c r="G15" s="28"/>
      <c r="H15" s="29">
        <f>SUM(E15:G15)</f>
        <v>-374958</v>
      </c>
      <c r="I15" s="27">
        <f t="shared" si="4"/>
        <v>2911042</v>
      </c>
      <c r="J15" s="29"/>
      <c r="K15" s="47">
        <f>+J15/9*3</f>
        <v>0</v>
      </c>
      <c r="L15" s="29">
        <f>+K15+J15</f>
        <v>0</v>
      </c>
      <c r="M15" s="27">
        <f t="shared" si="5"/>
        <v>2911042</v>
      </c>
      <c r="N15" s="24">
        <f t="shared" si="1"/>
        <v>1</v>
      </c>
    </row>
    <row r="16" spans="1:14" s="30" customFormat="1" ht="12.75">
      <c r="A16" s="25" t="s">
        <v>32</v>
      </c>
      <c r="B16" s="27">
        <v>0</v>
      </c>
      <c r="C16" s="27"/>
      <c r="D16" s="27">
        <f t="shared" si="2"/>
        <v>0</v>
      </c>
      <c r="E16" s="27"/>
      <c r="G16" s="28"/>
      <c r="H16" s="29">
        <f>SUM(E16:G16)</f>
        <v>0</v>
      </c>
      <c r="I16" s="27">
        <f t="shared" si="4"/>
        <v>0</v>
      </c>
      <c r="J16" s="29"/>
      <c r="K16" s="47">
        <f>+J16/9*3</f>
        <v>0</v>
      </c>
      <c r="L16" s="29">
        <f>+K16+J16</f>
        <v>0</v>
      </c>
      <c r="M16" s="27">
        <f t="shared" si="5"/>
        <v>0</v>
      </c>
      <c r="N16" s="24" t="e">
        <f t="shared" si="1"/>
        <v>#DIV/0!</v>
      </c>
    </row>
    <row r="17" spans="1:14" s="30" customFormat="1" ht="12.75">
      <c r="A17" s="25" t="s">
        <v>33</v>
      </c>
      <c r="B17" s="27"/>
      <c r="C17" s="27">
        <v>0</v>
      </c>
      <c r="D17" s="27">
        <f t="shared" si="2"/>
        <v>0</v>
      </c>
      <c r="E17" s="27"/>
      <c r="G17" s="28"/>
      <c r="H17" s="29">
        <f>SUM(E17:G17)</f>
        <v>0</v>
      </c>
      <c r="I17" s="27">
        <f t="shared" si="4"/>
        <v>0</v>
      </c>
      <c r="J17" s="29"/>
      <c r="K17" s="47">
        <f>+J17/9*3</f>
        <v>0</v>
      </c>
      <c r="L17" s="29">
        <f>+K17+J17</f>
        <v>0</v>
      </c>
      <c r="M17" s="27">
        <f t="shared" si="5"/>
        <v>0</v>
      </c>
      <c r="N17" s="24" t="e">
        <f t="shared" si="1"/>
        <v>#DIV/0!</v>
      </c>
    </row>
    <row r="18" spans="1:15" s="30" customFormat="1" ht="12.75">
      <c r="A18" s="25" t="s">
        <v>34</v>
      </c>
      <c r="B18" s="27">
        <v>0</v>
      </c>
      <c r="C18" s="27"/>
      <c r="D18" s="27">
        <f t="shared" si="2"/>
        <v>0</v>
      </c>
      <c r="E18" s="27">
        <v>266219</v>
      </c>
      <c r="F18" s="27"/>
      <c r="G18" s="28"/>
      <c r="H18" s="29">
        <f>SUM(E18:G18)</f>
        <v>266219</v>
      </c>
      <c r="I18" s="27">
        <f t="shared" si="4"/>
        <v>266219</v>
      </c>
      <c r="J18" s="29">
        <v>199664</v>
      </c>
      <c r="K18" s="47">
        <f>+J18/9*3</f>
        <v>66554.66666666667</v>
      </c>
      <c r="L18" s="29">
        <f>+K18+J18</f>
        <v>266218.6666666667</v>
      </c>
      <c r="M18" s="27">
        <f t="shared" si="5"/>
        <v>0.3333333333139308</v>
      </c>
      <c r="N18" s="24">
        <f t="shared" si="1"/>
        <v>1.2521019661028355E-06</v>
      </c>
      <c r="O18" s="4"/>
    </row>
    <row r="19" spans="1:15" s="1" customFormat="1" ht="12.75">
      <c r="A19" s="17" t="s">
        <v>35</v>
      </c>
      <c r="B19" s="22">
        <f aca="true" t="shared" si="6" ref="B19:L19">SUM(B20:B22)</f>
        <v>15319000</v>
      </c>
      <c r="C19" s="22">
        <f t="shared" si="6"/>
        <v>-8228000</v>
      </c>
      <c r="D19" s="22">
        <f t="shared" si="6"/>
        <v>7091000</v>
      </c>
      <c r="E19" s="22">
        <f t="shared" si="6"/>
        <v>0</v>
      </c>
      <c r="F19" s="22">
        <f t="shared" si="6"/>
        <v>487530</v>
      </c>
      <c r="G19" s="22">
        <f t="shared" si="6"/>
        <v>0</v>
      </c>
      <c r="H19" s="23">
        <f t="shared" si="6"/>
        <v>487530</v>
      </c>
      <c r="I19" s="22">
        <f t="shared" si="6"/>
        <v>7578530</v>
      </c>
      <c r="J19" s="22">
        <f t="shared" si="6"/>
        <v>5683898</v>
      </c>
      <c r="K19" s="59">
        <f t="shared" si="6"/>
        <v>1894632.6666666665</v>
      </c>
      <c r="L19" s="22">
        <f t="shared" si="6"/>
        <v>7578530.666666666</v>
      </c>
      <c r="M19" s="27">
        <f t="shared" si="5"/>
        <v>-0.666666666045785</v>
      </c>
      <c r="N19" s="24">
        <f t="shared" si="1"/>
        <v>-8.796780721931364E-08</v>
      </c>
      <c r="O19" s="31"/>
    </row>
    <row r="20" spans="1:14" s="30" customFormat="1" ht="12.75">
      <c r="A20" s="25" t="s">
        <v>36</v>
      </c>
      <c r="B20" s="27">
        <v>0</v>
      </c>
      <c r="C20" s="27"/>
      <c r="D20" s="27">
        <f t="shared" si="2"/>
        <v>0</v>
      </c>
      <c r="E20" s="27"/>
      <c r="F20" s="27">
        <v>1441985</v>
      </c>
      <c r="G20" s="28"/>
      <c r="H20" s="29">
        <f>SUM(E20:G20)</f>
        <v>1441985</v>
      </c>
      <c r="I20" s="27">
        <f t="shared" si="4"/>
        <v>1441985</v>
      </c>
      <c r="J20" s="29">
        <v>1081489</v>
      </c>
      <c r="K20" s="47">
        <f>+J20/9*3</f>
        <v>360496.3333333333</v>
      </c>
      <c r="L20" s="29">
        <f>+K20+J20</f>
        <v>1441985.3333333333</v>
      </c>
      <c r="M20" s="27">
        <f t="shared" si="5"/>
        <v>-0.3333333332557231</v>
      </c>
      <c r="N20" s="24">
        <f t="shared" si="1"/>
        <v>-2.3116282988777492E-07</v>
      </c>
    </row>
    <row r="21" spans="1:14" s="30" customFormat="1" ht="12.75">
      <c r="A21" s="25" t="s">
        <v>37</v>
      </c>
      <c r="B21" s="27">
        <v>13778000</v>
      </c>
      <c r="C21" s="27">
        <f>-8338000+100000</f>
        <v>-8238000</v>
      </c>
      <c r="D21" s="27">
        <f t="shared" si="2"/>
        <v>5540000</v>
      </c>
      <c r="E21" s="27"/>
      <c r="F21" s="27">
        <v>441360</v>
      </c>
      <c r="G21" s="28"/>
      <c r="H21" s="29">
        <f>SUM(E21:G21)</f>
        <v>441360</v>
      </c>
      <c r="I21" s="27">
        <f t="shared" si="4"/>
        <v>5981360</v>
      </c>
      <c r="J21" s="29">
        <v>4486020</v>
      </c>
      <c r="K21" s="47">
        <f>+J21/9*3</f>
        <v>1495340</v>
      </c>
      <c r="L21" s="29">
        <f>+K21+J21</f>
        <v>5981360</v>
      </c>
      <c r="M21" s="27">
        <f t="shared" si="5"/>
        <v>0</v>
      </c>
      <c r="N21" s="24">
        <f t="shared" si="1"/>
        <v>0</v>
      </c>
    </row>
    <row r="22" spans="1:14" s="30" customFormat="1" ht="12.75">
      <c r="A22" s="25" t="s">
        <v>38</v>
      </c>
      <c r="B22" s="27">
        <v>1541000</v>
      </c>
      <c r="C22" s="27">
        <v>10000</v>
      </c>
      <c r="D22" s="27">
        <f t="shared" si="2"/>
        <v>1551000</v>
      </c>
      <c r="E22" s="27"/>
      <c r="F22" s="27">
        <v>-1395815</v>
      </c>
      <c r="G22" s="28"/>
      <c r="H22" s="29">
        <f>SUM(E22:G22)</f>
        <v>-1395815</v>
      </c>
      <c r="I22" s="27">
        <f t="shared" si="4"/>
        <v>155185</v>
      </c>
      <c r="J22" s="29">
        <v>116389</v>
      </c>
      <c r="K22" s="47">
        <f>+J22/9*3</f>
        <v>38796.333333333336</v>
      </c>
      <c r="L22" s="29">
        <f>+K22+J22</f>
        <v>155185.33333333334</v>
      </c>
      <c r="M22" s="27">
        <f t="shared" si="5"/>
        <v>-0.3333333333430346</v>
      </c>
      <c r="N22" s="24">
        <f t="shared" si="1"/>
        <v>-2.147973923659082E-06</v>
      </c>
    </row>
    <row r="23" spans="1:14" s="1" customFormat="1" ht="13.5" thickBot="1">
      <c r="A23" s="32" t="s">
        <v>0</v>
      </c>
      <c r="B23" s="33">
        <f>+B19+B13+B7</f>
        <v>380783000</v>
      </c>
      <c r="C23" s="33">
        <f aca="true" t="shared" si="7" ref="C23:M23">+C19+C13+C7</f>
        <v>8496000</v>
      </c>
      <c r="D23" s="33">
        <f t="shared" si="7"/>
        <v>389279000</v>
      </c>
      <c r="E23" s="33">
        <f t="shared" si="7"/>
        <v>0</v>
      </c>
      <c r="F23" s="33">
        <f t="shared" si="7"/>
        <v>487530</v>
      </c>
      <c r="G23" s="33">
        <f t="shared" si="7"/>
        <v>0</v>
      </c>
      <c r="H23" s="34">
        <f t="shared" si="7"/>
        <v>487530</v>
      </c>
      <c r="I23" s="33">
        <f t="shared" si="7"/>
        <v>389766530</v>
      </c>
      <c r="J23" s="34">
        <f t="shared" si="7"/>
        <v>238771392</v>
      </c>
      <c r="K23" s="60">
        <f t="shared" si="7"/>
        <v>79590463.99999999</v>
      </c>
      <c r="L23" s="34">
        <f t="shared" si="7"/>
        <v>318361855.99999994</v>
      </c>
      <c r="M23" s="34">
        <f t="shared" si="7"/>
        <v>71404674.00000001</v>
      </c>
      <c r="N23" s="35">
        <f>SUM(M23/I23)</f>
        <v>0.18319857787686392</v>
      </c>
    </row>
    <row r="24" spans="1:14" s="3" customFormat="1" ht="13.5" thickTop="1">
      <c r="A24" s="36" t="s">
        <v>39</v>
      </c>
      <c r="B24" s="37"/>
      <c r="C24" s="37"/>
      <c r="D24" s="37">
        <f>ROUND((+D23*0.08),-3)</f>
        <v>31142000</v>
      </c>
      <c r="E24" s="37"/>
      <c r="F24" s="38"/>
      <c r="G24" s="39"/>
      <c r="H24" s="38"/>
      <c r="I24" s="37"/>
      <c r="J24" s="38"/>
      <c r="K24" s="61"/>
      <c r="L24" s="38"/>
      <c r="M24" s="37"/>
      <c r="N24" s="40"/>
    </row>
    <row r="25" spans="1:14" s="3" customFormat="1" ht="12.75">
      <c r="A25" s="36"/>
      <c r="B25" s="37"/>
      <c r="C25" s="37"/>
      <c r="D25" s="37"/>
      <c r="E25" s="37"/>
      <c r="F25" s="38"/>
      <c r="G25" s="39"/>
      <c r="H25" s="38"/>
      <c r="I25" s="37"/>
      <c r="J25" s="38"/>
      <c r="K25" s="61"/>
      <c r="L25" s="38"/>
      <c r="M25" s="37"/>
      <c r="N25" s="40"/>
    </row>
    <row r="26" spans="1:14" ht="12.75">
      <c r="A26" s="17" t="s">
        <v>40</v>
      </c>
      <c r="B26" s="18"/>
      <c r="C26" s="18"/>
      <c r="D26" s="18"/>
      <c r="E26" s="18"/>
      <c r="F26" s="18"/>
      <c r="G26" s="19"/>
      <c r="H26" s="20"/>
      <c r="I26" s="18"/>
      <c r="J26" s="20"/>
      <c r="K26" s="58"/>
      <c r="L26" s="20"/>
      <c r="M26" s="18"/>
      <c r="N26" s="21"/>
    </row>
    <row r="27" spans="1:14" s="1" customFormat="1" ht="12.75">
      <c r="A27" s="17" t="s">
        <v>23</v>
      </c>
      <c r="B27" s="22">
        <f aca="true" t="shared" si="8" ref="B27:M27">SUM(B28:B32)</f>
        <v>1906185000</v>
      </c>
      <c r="C27" s="22">
        <f t="shared" si="8"/>
        <v>-37904000</v>
      </c>
      <c r="D27" s="22">
        <f t="shared" si="8"/>
        <v>1868281000</v>
      </c>
      <c r="E27" s="22">
        <f t="shared" si="8"/>
        <v>-5931608</v>
      </c>
      <c r="F27" s="22">
        <f t="shared" si="8"/>
        <v>0</v>
      </c>
      <c r="G27" s="22">
        <f t="shared" si="8"/>
        <v>0</v>
      </c>
      <c r="H27" s="23">
        <f t="shared" si="8"/>
        <v>-5931608</v>
      </c>
      <c r="I27" s="22">
        <f t="shared" si="8"/>
        <v>1862349392</v>
      </c>
      <c r="J27" s="22">
        <f t="shared" si="8"/>
        <v>1085421221</v>
      </c>
      <c r="K27" s="59">
        <f t="shared" si="8"/>
        <v>361807073.6666666</v>
      </c>
      <c r="L27" s="22">
        <f t="shared" si="8"/>
        <v>1447228294.6666665</v>
      </c>
      <c r="M27" s="22">
        <f t="shared" si="8"/>
        <v>415121097.33333343</v>
      </c>
      <c r="N27" s="24">
        <f aca="true" t="shared" si="9" ref="N27:N42">SUM(M27/I27)</f>
        <v>0.2229018352391598</v>
      </c>
    </row>
    <row r="28" spans="1:14" s="30" customFormat="1" ht="12.75">
      <c r="A28" s="25" t="s">
        <v>24</v>
      </c>
      <c r="B28" s="27">
        <v>1091597000</v>
      </c>
      <c r="C28" s="27">
        <v>11394000</v>
      </c>
      <c r="D28" s="27">
        <f>SUM(B28:C28)</f>
        <v>1102991000</v>
      </c>
      <c r="E28" s="27"/>
      <c r="F28" s="27"/>
      <c r="G28" s="28"/>
      <c r="H28" s="29">
        <f>SUM(E28:G28)</f>
        <v>0</v>
      </c>
      <c r="I28" s="27">
        <f>SUM(D28+H28)</f>
        <v>1102991000</v>
      </c>
      <c r="J28" s="29">
        <f>718396965+5000</f>
        <v>718401965</v>
      </c>
      <c r="K28" s="47">
        <f>+J28/9*3</f>
        <v>239467321.66666666</v>
      </c>
      <c r="L28" s="29">
        <f>+K28+J28</f>
        <v>957869286.6666666</v>
      </c>
      <c r="M28" s="27">
        <f>I28-L28</f>
        <v>145121713.33333337</v>
      </c>
      <c r="N28" s="24">
        <f t="shared" si="9"/>
        <v>0.13157107658478934</v>
      </c>
    </row>
    <row r="29" spans="1:14" s="30" customFormat="1" ht="12.75">
      <c r="A29" s="25" t="s">
        <v>25</v>
      </c>
      <c r="B29" s="27">
        <v>814588000</v>
      </c>
      <c r="C29" s="27">
        <f>-60318000+11020000</f>
        <v>-49298000</v>
      </c>
      <c r="D29" s="27">
        <f>SUM(B29:C29)</f>
        <v>765290000</v>
      </c>
      <c r="E29" s="27">
        <f>-889808-5931608</f>
        <v>-6821416</v>
      </c>
      <c r="F29" s="27"/>
      <c r="G29" s="28"/>
      <c r="H29" s="29">
        <f>SUM(E29:G29)</f>
        <v>-6821416</v>
      </c>
      <c r="I29" s="27">
        <f>SUM(D29+H29)</f>
        <v>758468584</v>
      </c>
      <c r="J29" s="29">
        <f>366666577+523-315000</f>
        <v>366352100</v>
      </c>
      <c r="K29" s="47">
        <f>+J29/9*3</f>
        <v>122117366.66666666</v>
      </c>
      <c r="L29" s="29">
        <f>+K29+J29</f>
        <v>488469466.6666666</v>
      </c>
      <c r="M29" s="27">
        <f>I29-L29</f>
        <v>269999117.3333334</v>
      </c>
      <c r="N29" s="24">
        <f t="shared" si="9"/>
        <v>0.35597930227962266</v>
      </c>
    </row>
    <row r="30" spans="1:14" s="30" customFormat="1" ht="12.75">
      <c r="A30" s="25" t="s">
        <v>26</v>
      </c>
      <c r="B30" s="27"/>
      <c r="C30" s="27"/>
      <c r="D30" s="27">
        <f>SUM(B30:C30)</f>
        <v>0</v>
      </c>
      <c r="E30" s="27"/>
      <c r="F30" s="27"/>
      <c r="G30" s="28"/>
      <c r="H30" s="29">
        <f>SUM(E30:G30)</f>
        <v>0</v>
      </c>
      <c r="I30" s="27">
        <f>SUM(D30+H30)</f>
        <v>0</v>
      </c>
      <c r="J30" s="29"/>
      <c r="K30" s="47">
        <f>+J30/9*3</f>
        <v>0</v>
      </c>
      <c r="L30" s="29">
        <f>+K30+J30</f>
        <v>0</v>
      </c>
      <c r="M30" s="27">
        <f>I30-L30</f>
        <v>0</v>
      </c>
      <c r="N30" s="24" t="e">
        <f t="shared" si="9"/>
        <v>#DIV/0!</v>
      </c>
    </row>
    <row r="31" spans="1:14" s="30" customFormat="1" ht="12.75">
      <c r="A31" s="25" t="s">
        <v>27</v>
      </c>
      <c r="B31" s="27"/>
      <c r="C31" s="27"/>
      <c r="D31" s="27">
        <f>SUM(B31:C31)</f>
        <v>0</v>
      </c>
      <c r="E31" s="27">
        <v>889808</v>
      </c>
      <c r="F31" s="27"/>
      <c r="G31" s="28"/>
      <c r="H31" s="29">
        <f>SUM(E31:G31)</f>
        <v>889808</v>
      </c>
      <c r="I31" s="27">
        <f>SUM(D31+H31)</f>
        <v>889808</v>
      </c>
      <c r="J31" s="29">
        <f>156990+510366</f>
        <v>667356</v>
      </c>
      <c r="K31" s="47">
        <f>+J31/9*3</f>
        <v>222452</v>
      </c>
      <c r="L31" s="29">
        <f>+K31+J31</f>
        <v>889808</v>
      </c>
      <c r="M31" s="27">
        <f>I31-L31</f>
        <v>0</v>
      </c>
      <c r="N31" s="24">
        <f t="shared" si="9"/>
        <v>0</v>
      </c>
    </row>
    <row r="32" spans="1:14" s="30" customFormat="1" ht="12.75">
      <c r="A32" s="25" t="s">
        <v>28</v>
      </c>
      <c r="B32" s="27"/>
      <c r="C32" s="27"/>
      <c r="D32" s="27"/>
      <c r="E32" s="27"/>
      <c r="F32" s="27"/>
      <c r="G32" s="28"/>
      <c r="H32" s="29">
        <f>SUM(E32:G32)</f>
        <v>0</v>
      </c>
      <c r="I32" s="27">
        <f>SUM(D32+H32)</f>
        <v>0</v>
      </c>
      <c r="J32" s="29">
        <v>-200</v>
      </c>
      <c r="K32" s="47">
        <f>+J32/9*3</f>
        <v>-66.66666666666666</v>
      </c>
      <c r="L32" s="29">
        <f>+K32+J32</f>
        <v>-266.66666666666663</v>
      </c>
      <c r="M32" s="27">
        <f>I32-L32</f>
        <v>266.66666666666663</v>
      </c>
      <c r="N32" s="24" t="e">
        <f t="shared" si="9"/>
        <v>#DIV/0!</v>
      </c>
    </row>
    <row r="33" spans="1:14" s="1" customFormat="1" ht="12.75">
      <c r="A33" s="17" t="s">
        <v>29</v>
      </c>
      <c r="B33" s="22">
        <f aca="true" t="shared" si="10" ref="B33:M33">SUM(B34:B38)</f>
        <v>3662000</v>
      </c>
      <c r="C33" s="22">
        <f t="shared" si="10"/>
        <v>-31000</v>
      </c>
      <c r="D33" s="22">
        <f t="shared" si="10"/>
        <v>3631000</v>
      </c>
      <c r="E33" s="22">
        <f t="shared" si="10"/>
        <v>5931608</v>
      </c>
      <c r="F33" s="22">
        <f t="shared" si="10"/>
        <v>0</v>
      </c>
      <c r="G33" s="22">
        <f t="shared" si="10"/>
        <v>0</v>
      </c>
      <c r="H33" s="23">
        <f t="shared" si="10"/>
        <v>5931608</v>
      </c>
      <c r="I33" s="22">
        <f t="shared" si="10"/>
        <v>9562608</v>
      </c>
      <c r="J33" s="22">
        <f t="shared" si="10"/>
        <v>6614576</v>
      </c>
      <c r="K33" s="59">
        <f t="shared" si="10"/>
        <v>2204858.666666667</v>
      </c>
      <c r="L33" s="22">
        <f t="shared" si="10"/>
        <v>8819434.666666668</v>
      </c>
      <c r="M33" s="22">
        <f t="shared" si="10"/>
        <v>743173.3333333329</v>
      </c>
      <c r="N33" s="24">
        <f t="shared" si="9"/>
        <v>0.07771659502651714</v>
      </c>
    </row>
    <row r="34" spans="1:14" s="30" customFormat="1" ht="12.75">
      <c r="A34" s="25" t="s">
        <v>30</v>
      </c>
      <c r="B34" s="27">
        <v>3662000</v>
      </c>
      <c r="C34" s="27">
        <v>-31000</v>
      </c>
      <c r="D34" s="27">
        <f>SUM(B34:C34)</f>
        <v>3631000</v>
      </c>
      <c r="E34" s="27"/>
      <c r="F34" s="27"/>
      <c r="G34" s="28"/>
      <c r="H34" s="29">
        <f>SUM(E34:G34)</f>
        <v>0</v>
      </c>
      <c r="I34" s="27">
        <f>SUM(D34+H34)</f>
        <v>3631000</v>
      </c>
      <c r="J34" s="29">
        <v>2165870</v>
      </c>
      <c r="K34" s="47">
        <f>+J34/9*3</f>
        <v>721956.6666666666</v>
      </c>
      <c r="L34" s="29">
        <f>+K34+J34</f>
        <v>2887826.6666666665</v>
      </c>
      <c r="M34" s="27">
        <f>I34-L34</f>
        <v>743173.3333333335</v>
      </c>
      <c r="N34" s="24">
        <f t="shared" si="9"/>
        <v>0.20467456164509323</v>
      </c>
    </row>
    <row r="35" spans="1:14" s="30" customFormat="1" ht="12.75">
      <c r="A35" s="25" t="s">
        <v>31</v>
      </c>
      <c r="B35" s="27">
        <v>0</v>
      </c>
      <c r="C35" s="27"/>
      <c r="D35" s="27">
        <f>SUM(B35:C35)</f>
        <v>0</v>
      </c>
      <c r="E35" s="27">
        <v>634267</v>
      </c>
      <c r="F35" s="27"/>
      <c r="G35" s="28"/>
      <c r="H35" s="29">
        <f>SUM(E35:G35)</f>
        <v>634267</v>
      </c>
      <c r="I35" s="27">
        <f>SUM(D35+H35)</f>
        <v>634267</v>
      </c>
      <c r="J35" s="29">
        <f>-8300+484000</f>
        <v>475700</v>
      </c>
      <c r="K35" s="47">
        <f>+J35/9*3</f>
        <v>158566.66666666666</v>
      </c>
      <c r="L35" s="29">
        <f>+K35+J35</f>
        <v>634266.6666666666</v>
      </c>
      <c r="M35" s="27">
        <f>I35-L35</f>
        <v>0.33333333337213844</v>
      </c>
      <c r="N35" s="24">
        <f t="shared" si="9"/>
        <v>5.255410314144334E-07</v>
      </c>
    </row>
    <row r="36" spans="1:14" s="30" customFormat="1" ht="12.75">
      <c r="A36" s="25" t="s">
        <v>32</v>
      </c>
      <c r="B36" s="27"/>
      <c r="C36" s="27"/>
      <c r="D36" s="27">
        <f>SUM(B36:C36)</f>
        <v>0</v>
      </c>
      <c r="E36" s="27"/>
      <c r="F36" s="27"/>
      <c r="G36" s="28"/>
      <c r="H36" s="29">
        <f>SUM(E36:G36)</f>
        <v>0</v>
      </c>
      <c r="I36" s="27">
        <f>SUM(D36+H36)</f>
        <v>0</v>
      </c>
      <c r="J36" s="29"/>
      <c r="K36" s="47">
        <f>+J36/9*3</f>
        <v>0</v>
      </c>
      <c r="L36" s="29">
        <f>+K36+J36</f>
        <v>0</v>
      </c>
      <c r="M36" s="27">
        <f>I36-L36</f>
        <v>0</v>
      </c>
      <c r="N36" s="24" t="e">
        <f t="shared" si="9"/>
        <v>#DIV/0!</v>
      </c>
    </row>
    <row r="37" spans="1:14" s="30" customFormat="1" ht="12.75">
      <c r="A37" s="25" t="s">
        <v>33</v>
      </c>
      <c r="B37" s="27"/>
      <c r="C37" s="27">
        <v>0</v>
      </c>
      <c r="D37" s="27">
        <f>SUM(B37:C37)</f>
        <v>0</v>
      </c>
      <c r="E37" s="27"/>
      <c r="F37" s="27"/>
      <c r="G37" s="28"/>
      <c r="H37" s="29">
        <f>SUM(E37:G37)</f>
        <v>0</v>
      </c>
      <c r="I37" s="27">
        <f>SUM(D37+H37)</f>
        <v>0</v>
      </c>
      <c r="J37" s="29"/>
      <c r="K37" s="47">
        <f>+J37/9*3</f>
        <v>0</v>
      </c>
      <c r="L37" s="29">
        <f>+K37+J37</f>
        <v>0</v>
      </c>
      <c r="M37" s="27">
        <f>I37-L37</f>
        <v>0</v>
      </c>
      <c r="N37" s="24" t="e">
        <f t="shared" si="9"/>
        <v>#DIV/0!</v>
      </c>
    </row>
    <row r="38" spans="1:15" s="30" customFormat="1" ht="12.75">
      <c r="A38" s="25" t="s">
        <v>34</v>
      </c>
      <c r="B38" s="27"/>
      <c r="C38" s="27"/>
      <c r="D38" s="27">
        <f>SUM(B38:C38)</f>
        <v>0</v>
      </c>
      <c r="E38" s="27">
        <v>5297341</v>
      </c>
      <c r="F38" s="27"/>
      <c r="G38" s="28"/>
      <c r="H38" s="29">
        <f>SUM(E38:G38)</f>
        <v>5297341</v>
      </c>
      <c r="I38" s="27">
        <f>SUM(D38+H38)</f>
        <v>5297341</v>
      </c>
      <c r="J38" s="29">
        <v>3973006</v>
      </c>
      <c r="K38" s="47">
        <f>+J38/9*3</f>
        <v>1324335.3333333335</v>
      </c>
      <c r="L38" s="29">
        <f>+K38+J38</f>
        <v>5297341.333333334</v>
      </c>
      <c r="M38" s="27">
        <f>I38-L38</f>
        <v>-0.33333333395421505</v>
      </c>
      <c r="N38" s="24">
        <f t="shared" si="9"/>
        <v>-6.292465105686325E-08</v>
      </c>
      <c r="O38" s="4"/>
    </row>
    <row r="39" spans="1:15" s="1" customFormat="1" ht="12.75">
      <c r="A39" s="17" t="s">
        <v>35</v>
      </c>
      <c r="B39" s="22">
        <f aca="true" t="shared" si="11" ref="B39:M39">SUM(B40:B42)</f>
        <v>355058000</v>
      </c>
      <c r="C39" s="22">
        <f t="shared" si="11"/>
        <v>62607000</v>
      </c>
      <c r="D39" s="22">
        <f t="shared" si="11"/>
        <v>417665000</v>
      </c>
      <c r="E39" s="22">
        <f t="shared" si="11"/>
        <v>0</v>
      </c>
      <c r="F39" s="22">
        <f t="shared" si="11"/>
        <v>-487530</v>
      </c>
      <c r="G39" s="22">
        <f t="shared" si="11"/>
        <v>0</v>
      </c>
      <c r="H39" s="23">
        <f t="shared" si="11"/>
        <v>-487530</v>
      </c>
      <c r="I39" s="22">
        <f t="shared" si="11"/>
        <v>417177470</v>
      </c>
      <c r="J39" s="22">
        <f t="shared" si="11"/>
        <v>193713161</v>
      </c>
      <c r="K39" s="59">
        <f t="shared" si="11"/>
        <v>64571053.66666666</v>
      </c>
      <c r="L39" s="22">
        <f t="shared" si="11"/>
        <v>258284214.66666663</v>
      </c>
      <c r="M39" s="22">
        <f t="shared" si="11"/>
        <v>158893255.33333337</v>
      </c>
      <c r="N39" s="24">
        <f t="shared" si="9"/>
        <v>0.3808768851619273</v>
      </c>
      <c r="O39" s="31"/>
    </row>
    <row r="40" spans="1:14" s="30" customFormat="1" ht="12.75">
      <c r="A40" s="25" t="s">
        <v>36</v>
      </c>
      <c r="B40" s="27">
        <v>258134000</v>
      </c>
      <c r="C40" s="27">
        <f>9841000+50000000</f>
        <v>59841000</v>
      </c>
      <c r="D40" s="27">
        <f>SUM(B40:C40)</f>
        <v>317975000</v>
      </c>
      <c r="E40" s="27"/>
      <c r="F40" s="27"/>
      <c r="G40" s="28"/>
      <c r="H40" s="29">
        <f>SUM(E40:G40)</f>
        <v>0</v>
      </c>
      <c r="I40" s="27">
        <f>SUM(D40+H40)</f>
        <v>317975000</v>
      </c>
      <c r="J40" s="29">
        <v>169621402</v>
      </c>
      <c r="K40" s="47">
        <f>+J40/9*3</f>
        <v>56540467.33333333</v>
      </c>
      <c r="L40" s="29">
        <f>+K40+J40</f>
        <v>226161869.3333333</v>
      </c>
      <c r="M40" s="27">
        <f>I40-L40</f>
        <v>91813130.66666669</v>
      </c>
      <c r="N40" s="24">
        <f t="shared" si="9"/>
        <v>0.2887432366276175</v>
      </c>
    </row>
    <row r="41" spans="1:14" s="30" customFormat="1" ht="12.75">
      <c r="A41" s="25" t="s">
        <v>37</v>
      </c>
      <c r="B41" s="27">
        <v>96681000</v>
      </c>
      <c r="C41" s="27">
        <f>3811000-1045000</f>
        <v>2766000</v>
      </c>
      <c r="D41" s="27">
        <f>SUM(B41:C41)</f>
        <v>99447000</v>
      </c>
      <c r="E41" s="27"/>
      <c r="F41" s="27">
        <v>-487530</v>
      </c>
      <c r="G41" s="28"/>
      <c r="H41" s="29">
        <f>SUM(E41:G41)</f>
        <v>-487530</v>
      </c>
      <c r="I41" s="27">
        <f>SUM(D41+H41)</f>
        <v>98959470</v>
      </c>
      <c r="J41" s="29">
        <v>23940770</v>
      </c>
      <c r="K41" s="47">
        <f>+J41/9*3</f>
        <v>7980256.666666666</v>
      </c>
      <c r="L41" s="29">
        <f>+K41+J41</f>
        <v>31921026.666666664</v>
      </c>
      <c r="M41" s="27">
        <f>I41-L41</f>
        <v>67038443.333333336</v>
      </c>
      <c r="N41" s="24">
        <f t="shared" si="9"/>
        <v>0.6774333303657885</v>
      </c>
    </row>
    <row r="42" spans="1:14" s="30" customFormat="1" ht="12.75">
      <c r="A42" s="25" t="s">
        <v>38</v>
      </c>
      <c r="B42" s="27">
        <v>243000</v>
      </c>
      <c r="C42" s="27"/>
      <c r="D42" s="27">
        <f>SUM(B42:C42)</f>
        <v>243000</v>
      </c>
      <c r="E42" s="27"/>
      <c r="F42" s="27"/>
      <c r="G42" s="28"/>
      <c r="H42" s="29">
        <f>SUM(E42:G42)</f>
        <v>0</v>
      </c>
      <c r="I42" s="27">
        <f>SUM(D42+H42)</f>
        <v>243000</v>
      </c>
      <c r="J42" s="29">
        <v>150989</v>
      </c>
      <c r="K42" s="47">
        <f>+J42/9*3</f>
        <v>50329.666666666664</v>
      </c>
      <c r="L42" s="29">
        <f>+K42+J42</f>
        <v>201318.66666666666</v>
      </c>
      <c r="M42" s="27">
        <f>I42-L42</f>
        <v>41681.33333333334</v>
      </c>
      <c r="N42" s="24">
        <f t="shared" si="9"/>
        <v>0.17152812071330595</v>
      </c>
    </row>
    <row r="43" spans="1:14" s="1" customFormat="1" ht="13.5" thickBot="1">
      <c r="A43" s="32" t="s">
        <v>0</v>
      </c>
      <c r="B43" s="33">
        <f>+B39+B33+B27</f>
        <v>2264905000</v>
      </c>
      <c r="C43" s="33">
        <f aca="true" t="shared" si="12" ref="C43:M43">+C39+C33+C27</f>
        <v>24672000</v>
      </c>
      <c r="D43" s="33">
        <f t="shared" si="12"/>
        <v>2289577000</v>
      </c>
      <c r="E43" s="33">
        <f t="shared" si="12"/>
        <v>0</v>
      </c>
      <c r="F43" s="33">
        <f t="shared" si="12"/>
        <v>-487530</v>
      </c>
      <c r="G43" s="33">
        <f t="shared" si="12"/>
        <v>0</v>
      </c>
      <c r="H43" s="34">
        <f t="shared" si="12"/>
        <v>-487530</v>
      </c>
      <c r="I43" s="33">
        <f t="shared" si="12"/>
        <v>2289089470</v>
      </c>
      <c r="J43" s="34">
        <f t="shared" si="12"/>
        <v>1285748958</v>
      </c>
      <c r="K43" s="60">
        <f t="shared" si="12"/>
        <v>428582985.99999994</v>
      </c>
      <c r="L43" s="34">
        <f t="shared" si="12"/>
        <v>1714331943.9999998</v>
      </c>
      <c r="M43" s="34">
        <f t="shared" si="12"/>
        <v>574757526.0000001</v>
      </c>
      <c r="N43" s="35">
        <f>SUM(M43/I43)</f>
        <v>0.25108565372064734</v>
      </c>
    </row>
    <row r="44" spans="1:14" s="3" customFormat="1" ht="13.5" thickTop="1">
      <c r="A44" s="36" t="s">
        <v>39</v>
      </c>
      <c r="B44" s="37"/>
      <c r="C44" s="37"/>
      <c r="D44" s="37">
        <f>ROUND((+D43*0.08),-3)</f>
        <v>183166000</v>
      </c>
      <c r="E44" s="37"/>
      <c r="F44" s="38"/>
      <c r="G44" s="39"/>
      <c r="H44" s="38"/>
      <c r="I44" s="37"/>
      <c r="J44" s="38"/>
      <c r="K44" s="61"/>
      <c r="L44" s="38"/>
      <c r="M44" s="37"/>
      <c r="N44" s="40"/>
    </row>
    <row r="45" spans="1:14" s="3" customFormat="1" ht="12.75">
      <c r="A45" s="36"/>
      <c r="B45" s="37"/>
      <c r="C45" s="37"/>
      <c r="D45" s="37"/>
      <c r="E45" s="37"/>
      <c r="F45" s="38"/>
      <c r="G45" s="39"/>
      <c r="H45" s="38"/>
      <c r="I45" s="37"/>
      <c r="J45" s="38"/>
      <c r="K45" s="61"/>
      <c r="L45" s="38"/>
      <c r="M45" s="37"/>
      <c r="N45" s="40"/>
    </row>
    <row r="46" spans="1:14" ht="12.75">
      <c r="A46" s="17" t="s">
        <v>41</v>
      </c>
      <c r="B46" s="18"/>
      <c r="C46" s="18"/>
      <c r="D46" s="18"/>
      <c r="E46" s="18"/>
      <c r="F46" s="18"/>
      <c r="G46" s="19"/>
      <c r="H46" s="20"/>
      <c r="I46" s="18"/>
      <c r="J46" s="20"/>
      <c r="K46" s="58"/>
      <c r="L46" s="20"/>
      <c r="M46" s="18"/>
      <c r="N46" s="21"/>
    </row>
    <row r="47" spans="1:14" s="1" customFormat="1" ht="12.75">
      <c r="A47" s="17" t="s">
        <v>23</v>
      </c>
      <c r="B47" s="22">
        <f aca="true" t="shared" si="13" ref="B47:M47">SUM(B48:B52)</f>
        <v>304120000</v>
      </c>
      <c r="C47" s="22">
        <f t="shared" si="13"/>
        <v>-2301000</v>
      </c>
      <c r="D47" s="22">
        <f t="shared" si="13"/>
        <v>301819000</v>
      </c>
      <c r="E47" s="22">
        <f t="shared" si="13"/>
        <v>-6010276</v>
      </c>
      <c r="F47" s="22">
        <f t="shared" si="13"/>
        <v>0</v>
      </c>
      <c r="G47" s="22">
        <f t="shared" si="13"/>
        <v>0</v>
      </c>
      <c r="H47" s="23">
        <f t="shared" si="13"/>
        <v>-6010276</v>
      </c>
      <c r="I47" s="22">
        <f t="shared" si="13"/>
        <v>295808724</v>
      </c>
      <c r="J47" s="22">
        <f t="shared" si="13"/>
        <v>205246662</v>
      </c>
      <c r="K47" s="59">
        <f t="shared" si="13"/>
        <v>68415554.00000001</v>
      </c>
      <c r="L47" s="22">
        <f t="shared" si="13"/>
        <v>273662216.00000006</v>
      </c>
      <c r="M47" s="22">
        <f t="shared" si="13"/>
        <v>22146507.99999998</v>
      </c>
      <c r="N47" s="24">
        <f aca="true" t="shared" si="14" ref="N47:N62">SUM(M47/I47)</f>
        <v>0.07486766347026325</v>
      </c>
    </row>
    <row r="48" spans="1:14" s="30" customFormat="1" ht="12.75">
      <c r="A48" s="25" t="s">
        <v>24</v>
      </c>
      <c r="B48" s="27">
        <v>237084000</v>
      </c>
      <c r="C48" s="27">
        <v>-648000</v>
      </c>
      <c r="D48" s="27">
        <f>SUM(B48:C48)</f>
        <v>236436000</v>
      </c>
      <c r="E48" s="27"/>
      <c r="F48" s="27"/>
      <c r="G48" s="28"/>
      <c r="H48" s="29">
        <f>SUM(E48:G48)</f>
        <v>0</v>
      </c>
      <c r="I48" s="27">
        <f>SUM(D48+H48)</f>
        <v>236436000</v>
      </c>
      <c r="J48" s="29">
        <v>174288776</v>
      </c>
      <c r="K48" s="47">
        <f>+J48/9*3</f>
        <v>58096258.66666667</v>
      </c>
      <c r="L48" s="29">
        <f>+K48+J48</f>
        <v>232385034.6666667</v>
      </c>
      <c r="M48" s="27">
        <f>I48-L48</f>
        <v>4050965.3333333135</v>
      </c>
      <c r="N48" s="24">
        <f t="shared" si="14"/>
        <v>0.017133454014335015</v>
      </c>
    </row>
    <row r="49" spans="1:14" s="30" customFormat="1" ht="12.75">
      <c r="A49" s="25" t="s">
        <v>25</v>
      </c>
      <c r="B49" s="27">
        <v>67036000</v>
      </c>
      <c r="C49" s="27">
        <v>-1653000</v>
      </c>
      <c r="D49" s="27">
        <f>SUM(B49:C49)</f>
        <v>65383000</v>
      </c>
      <c r="E49" s="27">
        <f>-6010276-22691</f>
        <v>-6032967</v>
      </c>
      <c r="F49" s="27"/>
      <c r="G49" s="28"/>
      <c r="H49" s="29">
        <f>SUM(E49:G49)</f>
        <v>-6032967</v>
      </c>
      <c r="I49" s="27">
        <f>SUM(D49+H49)</f>
        <v>59350033</v>
      </c>
      <c r="J49" s="29">
        <v>30940868</v>
      </c>
      <c r="K49" s="47">
        <f>+J49/9*3</f>
        <v>10313622.666666666</v>
      </c>
      <c r="L49" s="29">
        <f>+K49+J49</f>
        <v>41254490.666666664</v>
      </c>
      <c r="M49" s="27">
        <f>I49-L49</f>
        <v>18095542.333333336</v>
      </c>
      <c r="N49" s="24">
        <f t="shared" si="14"/>
        <v>0.30489523625594844</v>
      </c>
    </row>
    <row r="50" spans="1:14" s="30" customFormat="1" ht="12.75">
      <c r="A50" s="25" t="s">
        <v>26</v>
      </c>
      <c r="B50" s="27"/>
      <c r="C50" s="27"/>
      <c r="D50" s="27">
        <f>SUM(B50:C50)</f>
        <v>0</v>
      </c>
      <c r="E50" s="27"/>
      <c r="F50" s="27"/>
      <c r="G50" s="28"/>
      <c r="H50" s="29">
        <f>SUM(E50:G50)</f>
        <v>0</v>
      </c>
      <c r="I50" s="27">
        <f>SUM(D50+H50)</f>
        <v>0</v>
      </c>
      <c r="J50" s="29"/>
      <c r="K50" s="47">
        <f>+J50/9*3</f>
        <v>0</v>
      </c>
      <c r="L50" s="29">
        <f>+K50+J50</f>
        <v>0</v>
      </c>
      <c r="M50" s="27">
        <f>I50-L50</f>
        <v>0</v>
      </c>
      <c r="N50" s="24" t="e">
        <f t="shared" si="14"/>
        <v>#DIV/0!</v>
      </c>
    </row>
    <row r="51" spans="1:14" s="30" customFormat="1" ht="12.75">
      <c r="A51" s="25" t="s">
        <v>27</v>
      </c>
      <c r="B51" s="27"/>
      <c r="C51" s="27"/>
      <c r="D51" s="27">
        <f>SUM(B51:C51)</f>
        <v>0</v>
      </c>
      <c r="E51" s="27">
        <v>22691</v>
      </c>
      <c r="F51" s="27"/>
      <c r="G51" s="28"/>
      <c r="H51" s="29">
        <f>SUM(E51:G51)</f>
        <v>22691</v>
      </c>
      <c r="I51" s="27">
        <f>SUM(D51+H51)</f>
        <v>22691</v>
      </c>
      <c r="J51" s="29">
        <v>17018</v>
      </c>
      <c r="K51" s="47">
        <f>+J51/9*3</f>
        <v>5672.666666666667</v>
      </c>
      <c r="L51" s="29">
        <f>+K51+J51</f>
        <v>22690.666666666668</v>
      </c>
      <c r="M51" s="27">
        <f>I51-L51</f>
        <v>0.3333333333321207</v>
      </c>
      <c r="N51" s="24">
        <f t="shared" si="14"/>
        <v>1.469011208550177E-05</v>
      </c>
    </row>
    <row r="52" spans="1:14" s="30" customFormat="1" ht="12.75">
      <c r="A52" s="25" t="s">
        <v>28</v>
      </c>
      <c r="B52" s="27"/>
      <c r="C52" s="27"/>
      <c r="D52" s="27"/>
      <c r="E52" s="27"/>
      <c r="F52" s="27"/>
      <c r="G52" s="28"/>
      <c r="H52" s="29">
        <f>SUM(E52:G52)</f>
        <v>0</v>
      </c>
      <c r="I52" s="27">
        <f>SUM(D52+H52)</f>
        <v>0</v>
      </c>
      <c r="J52" s="29"/>
      <c r="K52" s="47">
        <f>+J52/9*3</f>
        <v>0</v>
      </c>
      <c r="L52" s="29">
        <f>+K52+J52</f>
        <v>0</v>
      </c>
      <c r="M52" s="27">
        <f>I52-L52</f>
        <v>0</v>
      </c>
      <c r="N52" s="24" t="e">
        <f t="shared" si="14"/>
        <v>#DIV/0!</v>
      </c>
    </row>
    <row r="53" spans="1:14" s="1" customFormat="1" ht="12.75">
      <c r="A53" s="17" t="s">
        <v>29</v>
      </c>
      <c r="B53" s="22">
        <f aca="true" t="shared" si="15" ref="B53:M53">SUM(B54:B58)</f>
        <v>3557000</v>
      </c>
      <c r="C53" s="22">
        <f t="shared" si="15"/>
        <v>1539000</v>
      </c>
      <c r="D53" s="22">
        <f t="shared" si="15"/>
        <v>5096000</v>
      </c>
      <c r="E53" s="22">
        <f t="shared" si="15"/>
        <v>6010276</v>
      </c>
      <c r="F53" s="22">
        <f t="shared" si="15"/>
        <v>0</v>
      </c>
      <c r="G53" s="22">
        <f t="shared" si="15"/>
        <v>0</v>
      </c>
      <c r="H53" s="23">
        <f t="shared" si="15"/>
        <v>6010276</v>
      </c>
      <c r="I53" s="22">
        <f t="shared" si="15"/>
        <v>11106276</v>
      </c>
      <c r="J53" s="22">
        <f t="shared" si="15"/>
        <v>8329707</v>
      </c>
      <c r="K53" s="59">
        <f t="shared" si="15"/>
        <v>2776569</v>
      </c>
      <c r="L53" s="22">
        <f t="shared" si="15"/>
        <v>11106276</v>
      </c>
      <c r="M53" s="22">
        <f t="shared" si="15"/>
        <v>-2.3283064365386963E-10</v>
      </c>
      <c r="N53" s="24">
        <f t="shared" si="14"/>
        <v>-2.0963880571117596E-17</v>
      </c>
    </row>
    <row r="54" spans="1:14" s="30" customFormat="1" ht="12.75">
      <c r="A54" s="25" t="s">
        <v>30</v>
      </c>
      <c r="B54" s="27">
        <v>1119000</v>
      </c>
      <c r="C54" s="27">
        <v>35000</v>
      </c>
      <c r="D54" s="27">
        <f>SUM(B54:C54)</f>
        <v>1154000</v>
      </c>
      <c r="E54" s="27">
        <v>-448075</v>
      </c>
      <c r="F54" s="27"/>
      <c r="G54" s="28"/>
      <c r="H54" s="29">
        <f>SUM(E54:G54)</f>
        <v>-448075</v>
      </c>
      <c r="I54" s="27">
        <f>SUM(D54+H54)</f>
        <v>705925</v>
      </c>
      <c r="J54" s="29">
        <v>529444</v>
      </c>
      <c r="K54" s="47">
        <f>+J54/9*3</f>
        <v>176481.3333333333</v>
      </c>
      <c r="L54" s="29">
        <f>+K54+J54</f>
        <v>705925.3333333333</v>
      </c>
      <c r="M54" s="27">
        <f>I54-L54</f>
        <v>-0.3333333332557231</v>
      </c>
      <c r="N54" s="24">
        <f t="shared" si="14"/>
        <v>-4.7219369374327744E-07</v>
      </c>
    </row>
    <row r="55" spans="1:14" s="30" customFormat="1" ht="12.75">
      <c r="A55" s="25" t="s">
        <v>31</v>
      </c>
      <c r="B55" s="27">
        <v>0</v>
      </c>
      <c r="C55" s="27"/>
      <c r="D55" s="27">
        <f>SUM(B55:C55)</f>
        <v>0</v>
      </c>
      <c r="E55" s="27"/>
      <c r="F55" s="27"/>
      <c r="G55" s="28"/>
      <c r="H55" s="29">
        <f>SUM(E55:G55)</f>
        <v>0</v>
      </c>
      <c r="I55" s="27">
        <f>SUM(D55+H55)</f>
        <v>0</v>
      </c>
      <c r="J55" s="29"/>
      <c r="K55" s="47">
        <f>+J55/9*3</f>
        <v>0</v>
      </c>
      <c r="L55" s="29">
        <f>+K55+J55</f>
        <v>0</v>
      </c>
      <c r="M55" s="27">
        <f>I55-L55</f>
        <v>0</v>
      </c>
      <c r="N55" s="24" t="e">
        <f t="shared" si="14"/>
        <v>#DIV/0!</v>
      </c>
    </row>
    <row r="56" spans="1:14" s="30" customFormat="1" ht="12.75">
      <c r="A56" s="25" t="s">
        <v>32</v>
      </c>
      <c r="B56" s="27">
        <v>2438000</v>
      </c>
      <c r="C56" s="27">
        <v>1504000</v>
      </c>
      <c r="D56" s="27">
        <f>SUM(B56:C56)</f>
        <v>3942000</v>
      </c>
      <c r="E56" s="27">
        <v>1211480</v>
      </c>
      <c r="F56" s="27"/>
      <c r="G56" s="28"/>
      <c r="H56" s="29">
        <f>SUM(E56:G56)</f>
        <v>1211480</v>
      </c>
      <c r="I56" s="27">
        <f>SUM(D56+H56)</f>
        <v>5153480</v>
      </c>
      <c r="J56" s="29">
        <v>3865110</v>
      </c>
      <c r="K56" s="47">
        <f>+J56/9*3</f>
        <v>1288370</v>
      </c>
      <c r="L56" s="29">
        <f>+K56+J56</f>
        <v>5153480</v>
      </c>
      <c r="M56" s="27">
        <f>I56-L56</f>
        <v>0</v>
      </c>
      <c r="N56" s="24">
        <f t="shared" si="14"/>
        <v>0</v>
      </c>
    </row>
    <row r="57" spans="1:14" s="30" customFormat="1" ht="12.75">
      <c r="A57" s="25" t="s">
        <v>33</v>
      </c>
      <c r="B57" s="27"/>
      <c r="C57" s="27">
        <v>0</v>
      </c>
      <c r="D57" s="27">
        <f>SUM(B57:C57)</f>
        <v>0</v>
      </c>
      <c r="E57" s="27"/>
      <c r="F57" s="27"/>
      <c r="G57" s="28"/>
      <c r="H57" s="29">
        <f>SUM(E57:G57)</f>
        <v>0</v>
      </c>
      <c r="I57" s="27">
        <f>SUM(D57+H57)</f>
        <v>0</v>
      </c>
      <c r="J57" s="29"/>
      <c r="K57" s="47">
        <f>+J57/9*3</f>
        <v>0</v>
      </c>
      <c r="L57" s="29">
        <f>+K57+J57</f>
        <v>0</v>
      </c>
      <c r="M57" s="27">
        <f>I57-L57</f>
        <v>0</v>
      </c>
      <c r="N57" s="24" t="e">
        <f t="shared" si="14"/>
        <v>#DIV/0!</v>
      </c>
    </row>
    <row r="58" spans="1:15" s="30" customFormat="1" ht="12.75">
      <c r="A58" s="25" t="s">
        <v>34</v>
      </c>
      <c r="B58" s="27">
        <v>0</v>
      </c>
      <c r="C58" s="27"/>
      <c r="D58" s="27">
        <f>SUM(B58:C58)</f>
        <v>0</v>
      </c>
      <c r="E58" s="27">
        <v>5246871</v>
      </c>
      <c r="F58" s="27"/>
      <c r="G58" s="28"/>
      <c r="H58" s="29">
        <f>SUM(E58:G58)</f>
        <v>5246871</v>
      </c>
      <c r="I58" s="27">
        <f>SUM(D58+H58)</f>
        <v>5246871</v>
      </c>
      <c r="J58" s="29">
        <v>3935153</v>
      </c>
      <c r="K58" s="47">
        <f>+J58/9*3</f>
        <v>1311717.6666666667</v>
      </c>
      <c r="L58" s="29">
        <f>+K58+J58</f>
        <v>5246870.666666667</v>
      </c>
      <c r="M58" s="27">
        <f>I58-L58</f>
        <v>0.3333333330228925</v>
      </c>
      <c r="N58" s="24">
        <f t="shared" si="14"/>
        <v>6.352992726958457E-08</v>
      </c>
      <c r="O58" s="4"/>
    </row>
    <row r="59" spans="1:15" s="1" customFormat="1" ht="12.75">
      <c r="A59" s="17" t="s">
        <v>35</v>
      </c>
      <c r="B59" s="22">
        <f aca="true" t="shared" si="16" ref="B59:M59">SUM(B60:B62)</f>
        <v>7643000</v>
      </c>
      <c r="C59" s="22">
        <f t="shared" si="16"/>
        <v>-734000</v>
      </c>
      <c r="D59" s="22">
        <f t="shared" si="16"/>
        <v>6909000</v>
      </c>
      <c r="E59" s="22">
        <f t="shared" si="16"/>
        <v>0</v>
      </c>
      <c r="F59" s="22">
        <f t="shared" si="16"/>
        <v>0</v>
      </c>
      <c r="G59" s="22">
        <f t="shared" si="16"/>
        <v>0</v>
      </c>
      <c r="H59" s="23">
        <f t="shared" si="16"/>
        <v>0</v>
      </c>
      <c r="I59" s="22">
        <f t="shared" si="16"/>
        <v>6909000</v>
      </c>
      <c r="J59" s="22">
        <f t="shared" si="16"/>
        <v>970840</v>
      </c>
      <c r="K59" s="59">
        <f t="shared" si="16"/>
        <v>323613.3333333334</v>
      </c>
      <c r="L59" s="22">
        <f t="shared" si="16"/>
        <v>1294453.3333333335</v>
      </c>
      <c r="M59" s="22">
        <f t="shared" si="16"/>
        <v>5614546.666666666</v>
      </c>
      <c r="N59" s="24">
        <f t="shared" si="14"/>
        <v>0.8126424470497418</v>
      </c>
      <c r="O59" s="31"/>
    </row>
    <row r="60" spans="1:14" s="30" customFormat="1" ht="12.75">
      <c r="A60" s="25" t="s">
        <v>36</v>
      </c>
      <c r="B60" s="27">
        <v>0</v>
      </c>
      <c r="C60" s="27"/>
      <c r="D60" s="27">
        <f>SUM(B60:C60)</f>
        <v>0</v>
      </c>
      <c r="E60" s="27">
        <v>928</v>
      </c>
      <c r="F60" s="27"/>
      <c r="G60" s="28"/>
      <c r="H60" s="29">
        <f>SUM(E60:G60)</f>
        <v>928</v>
      </c>
      <c r="I60" s="27">
        <f>SUM(D60+H60)</f>
        <v>928</v>
      </c>
      <c r="J60" s="29">
        <v>696</v>
      </c>
      <c r="K60" s="47">
        <f>+J60/9*3</f>
        <v>232</v>
      </c>
      <c r="L60" s="29">
        <f>+K60+J60</f>
        <v>928</v>
      </c>
      <c r="M60" s="27">
        <f>I60-L60</f>
        <v>0</v>
      </c>
      <c r="N60" s="24">
        <f t="shared" si="14"/>
        <v>0</v>
      </c>
    </row>
    <row r="61" spans="1:14" s="30" customFormat="1" ht="12.75">
      <c r="A61" s="25" t="s">
        <v>37</v>
      </c>
      <c r="B61" s="27">
        <v>7643000</v>
      </c>
      <c r="C61" s="27">
        <v>-734000</v>
      </c>
      <c r="D61" s="27">
        <f>SUM(B61:C61)</f>
        <v>6909000</v>
      </c>
      <c r="E61" s="27">
        <v>-31240</v>
      </c>
      <c r="F61" s="27"/>
      <c r="G61" s="28"/>
      <c r="H61" s="29">
        <f>SUM(E61:G61)</f>
        <v>-31240</v>
      </c>
      <c r="I61" s="27">
        <f>SUM(D61+H61)</f>
        <v>6877760</v>
      </c>
      <c r="J61" s="29">
        <v>947410</v>
      </c>
      <c r="K61" s="47">
        <f>+J61/9*3</f>
        <v>315803.3333333334</v>
      </c>
      <c r="L61" s="29">
        <f>+K61+J61</f>
        <v>1263213.3333333335</v>
      </c>
      <c r="M61" s="27">
        <f>I61-L61</f>
        <v>5614546.666666666</v>
      </c>
      <c r="N61" s="24">
        <f t="shared" si="14"/>
        <v>0.8163336124939902</v>
      </c>
    </row>
    <row r="62" spans="1:14" s="30" customFormat="1" ht="12.75">
      <c r="A62" s="25" t="s">
        <v>38</v>
      </c>
      <c r="B62" s="27">
        <v>0</v>
      </c>
      <c r="C62" s="27"/>
      <c r="D62" s="27">
        <f>SUM(B62:C62)</f>
        <v>0</v>
      </c>
      <c r="E62" s="27">
        <v>30312</v>
      </c>
      <c r="F62" s="27"/>
      <c r="G62" s="28"/>
      <c r="H62" s="29">
        <f>SUM(E62:G62)</f>
        <v>30312</v>
      </c>
      <c r="I62" s="27">
        <f>SUM(D62+H62)</f>
        <v>30312</v>
      </c>
      <c r="J62" s="29">
        <v>22734</v>
      </c>
      <c r="K62" s="47">
        <f>+J62/9*3</f>
        <v>7578</v>
      </c>
      <c r="L62" s="29">
        <f>+K62+J62</f>
        <v>30312</v>
      </c>
      <c r="M62" s="27">
        <f>I62-L62</f>
        <v>0</v>
      </c>
      <c r="N62" s="24">
        <f t="shared" si="14"/>
        <v>0</v>
      </c>
    </row>
    <row r="63" spans="1:14" s="1" customFormat="1" ht="13.5" thickBot="1">
      <c r="A63" s="32" t="s">
        <v>0</v>
      </c>
      <c r="B63" s="33">
        <f>+B59+B53+B47</f>
        <v>315320000</v>
      </c>
      <c r="C63" s="33">
        <f aca="true" t="shared" si="17" ref="C63:M63">+C59+C53+C47</f>
        <v>-1496000</v>
      </c>
      <c r="D63" s="33">
        <f t="shared" si="17"/>
        <v>313824000</v>
      </c>
      <c r="E63" s="33">
        <f t="shared" si="17"/>
        <v>0</v>
      </c>
      <c r="F63" s="33">
        <f t="shared" si="17"/>
        <v>0</v>
      </c>
      <c r="G63" s="33">
        <f t="shared" si="17"/>
        <v>0</v>
      </c>
      <c r="H63" s="34">
        <f t="shared" si="17"/>
        <v>0</v>
      </c>
      <c r="I63" s="33">
        <f t="shared" si="17"/>
        <v>313824000</v>
      </c>
      <c r="J63" s="34">
        <f t="shared" si="17"/>
        <v>214547209</v>
      </c>
      <c r="K63" s="60">
        <f t="shared" si="17"/>
        <v>71515736.33333334</v>
      </c>
      <c r="L63" s="34">
        <f t="shared" si="17"/>
        <v>286062945.3333334</v>
      </c>
      <c r="M63" s="34">
        <f t="shared" si="17"/>
        <v>27761054.66666665</v>
      </c>
      <c r="N63" s="35">
        <f>SUM(M63/I63)</f>
        <v>0.0884605851262703</v>
      </c>
    </row>
    <row r="64" spans="1:14" s="3" customFormat="1" ht="13.5" thickTop="1">
      <c r="A64" s="36" t="s">
        <v>39</v>
      </c>
      <c r="B64" s="37"/>
      <c r="C64" s="37"/>
      <c r="D64" s="37">
        <f>ROUND((+D63*0.08),-3)</f>
        <v>25106000</v>
      </c>
      <c r="E64" s="37"/>
      <c r="F64" s="38"/>
      <c r="G64" s="39"/>
      <c r="H64" s="38"/>
      <c r="I64" s="37"/>
      <c r="J64" s="38"/>
      <c r="K64" s="61"/>
      <c r="L64" s="38"/>
      <c r="M64" s="37"/>
      <c r="N64" s="40"/>
    </row>
    <row r="65" spans="1:14" s="3" customFormat="1" ht="12.75">
      <c r="A65" s="36"/>
      <c r="B65" s="37"/>
      <c r="C65" s="37"/>
      <c r="D65" s="37"/>
      <c r="E65" s="37"/>
      <c r="F65" s="38"/>
      <c r="G65" s="39"/>
      <c r="H65" s="38"/>
      <c r="I65" s="37"/>
      <c r="J65" s="38"/>
      <c r="K65" s="61"/>
      <c r="L65" s="38"/>
      <c r="M65" s="37"/>
      <c r="N65" s="40"/>
    </row>
    <row r="66" spans="1:14" ht="12.75">
      <c r="A66" s="17" t="s">
        <v>42</v>
      </c>
      <c r="B66" s="18"/>
      <c r="C66" s="18"/>
      <c r="D66" s="18"/>
      <c r="E66" s="18"/>
      <c r="F66" s="18"/>
      <c r="G66" s="19"/>
      <c r="H66" s="20"/>
      <c r="I66" s="18"/>
      <c r="J66" s="20"/>
      <c r="K66" s="58"/>
      <c r="L66" s="20"/>
      <c r="M66" s="18"/>
      <c r="N66" s="21"/>
    </row>
    <row r="67" spans="1:14" s="1" customFormat="1" ht="12.75">
      <c r="A67" s="17" t="s">
        <v>23</v>
      </c>
      <c r="B67" s="22">
        <f aca="true" t="shared" si="18" ref="B67:M67">SUM(B68:B72)</f>
        <v>1254195000</v>
      </c>
      <c r="C67" s="22">
        <f t="shared" si="18"/>
        <v>82000000</v>
      </c>
      <c r="D67" s="22">
        <f t="shared" si="18"/>
        <v>1336195000</v>
      </c>
      <c r="E67" s="22">
        <f t="shared" si="18"/>
        <v>-2614203</v>
      </c>
      <c r="F67" s="22">
        <f t="shared" si="18"/>
        <v>0</v>
      </c>
      <c r="G67" s="22">
        <f t="shared" si="18"/>
        <v>0</v>
      </c>
      <c r="H67" s="23">
        <f t="shared" si="18"/>
        <v>-2614203</v>
      </c>
      <c r="I67" s="22">
        <f t="shared" si="18"/>
        <v>1333580797</v>
      </c>
      <c r="J67" s="22">
        <f t="shared" si="18"/>
        <v>927789262</v>
      </c>
      <c r="K67" s="59">
        <f t="shared" si="18"/>
        <v>309263087.3333333</v>
      </c>
      <c r="L67" s="22">
        <f t="shared" si="18"/>
        <v>1237052349.3333333</v>
      </c>
      <c r="M67" s="22">
        <f t="shared" si="18"/>
        <v>96528447.66666661</v>
      </c>
      <c r="N67" s="24">
        <f aca="true" t="shared" si="19" ref="N67:N82">SUM(M67/I67)</f>
        <v>0.07238290164631593</v>
      </c>
    </row>
    <row r="68" spans="1:14" s="30" customFormat="1" ht="12.75">
      <c r="A68" s="25" t="s">
        <v>24</v>
      </c>
      <c r="B68" s="27">
        <v>905156000</v>
      </c>
      <c r="C68" s="27"/>
      <c r="D68" s="27">
        <f>SUM(B68:C68)</f>
        <v>905156000</v>
      </c>
      <c r="E68" s="27"/>
      <c r="F68" s="27"/>
      <c r="G68" s="28"/>
      <c r="H68" s="29">
        <f>SUM(E68:G68)</f>
        <v>0</v>
      </c>
      <c r="I68" s="27">
        <f>SUM(D68+H68)</f>
        <v>905156000</v>
      </c>
      <c r="J68" s="29">
        <f>11082+670651925</f>
        <v>670663007</v>
      </c>
      <c r="K68" s="47">
        <f>+J68/9*3</f>
        <v>223554335.6666667</v>
      </c>
      <c r="L68" s="29">
        <f>+K68+J68</f>
        <v>894217342.6666667</v>
      </c>
      <c r="M68" s="27">
        <f>I68-L68</f>
        <v>10938657.333333254</v>
      </c>
      <c r="N68" s="24">
        <f t="shared" si="19"/>
        <v>0.012084831049380719</v>
      </c>
    </row>
    <row r="69" spans="1:14" s="30" customFormat="1" ht="12.75">
      <c r="A69" s="25" t="s">
        <v>25</v>
      </c>
      <c r="B69" s="27">
        <v>349039000</v>
      </c>
      <c r="C69" s="27">
        <v>82000000</v>
      </c>
      <c r="D69" s="27">
        <f>SUM(B69:C69)</f>
        <v>431039000</v>
      </c>
      <c r="E69" s="27">
        <f>-17665-2614203</f>
        <v>-2631868</v>
      </c>
      <c r="F69" s="27"/>
      <c r="G69" s="28"/>
      <c r="H69" s="29">
        <f>SUM(E69:G69)</f>
        <v>-2631868</v>
      </c>
      <c r="I69" s="27">
        <f>SUM(D69+H69)</f>
        <v>428407132</v>
      </c>
      <c r="J69" s="29">
        <f>2332440+254780566</f>
        <v>257113006</v>
      </c>
      <c r="K69" s="47">
        <f>+J69/9*3</f>
        <v>85704335.33333333</v>
      </c>
      <c r="L69" s="29">
        <f>+K69+J69</f>
        <v>342817341.3333333</v>
      </c>
      <c r="M69" s="27">
        <f>I69-L69</f>
        <v>85589790.66666669</v>
      </c>
      <c r="N69" s="24">
        <f t="shared" si="19"/>
        <v>0.19978610128896426</v>
      </c>
    </row>
    <row r="70" spans="1:14" s="30" customFormat="1" ht="12.75">
      <c r="A70" s="25" t="s">
        <v>26</v>
      </c>
      <c r="B70" s="27"/>
      <c r="C70" s="27"/>
      <c r="D70" s="27">
        <f>SUM(B70:C70)</f>
        <v>0</v>
      </c>
      <c r="E70" s="27"/>
      <c r="F70" s="27"/>
      <c r="G70" s="28"/>
      <c r="H70" s="29">
        <f>SUM(E70:G70)</f>
        <v>0</v>
      </c>
      <c r="I70" s="27">
        <f>SUM(D70+H70)</f>
        <v>0</v>
      </c>
      <c r="J70" s="29"/>
      <c r="K70" s="47">
        <f>+J70/9*3</f>
        <v>0</v>
      </c>
      <c r="L70" s="29">
        <f>+K70+J70</f>
        <v>0</v>
      </c>
      <c r="M70" s="27">
        <f>I70-L70</f>
        <v>0</v>
      </c>
      <c r="N70" s="24" t="e">
        <f t="shared" si="19"/>
        <v>#DIV/0!</v>
      </c>
    </row>
    <row r="71" spans="1:14" s="30" customFormat="1" ht="12.75">
      <c r="A71" s="25" t="s">
        <v>27</v>
      </c>
      <c r="B71" s="27"/>
      <c r="C71" s="27"/>
      <c r="D71" s="27">
        <f>SUM(B71:C71)</f>
        <v>0</v>
      </c>
      <c r="E71" s="27">
        <v>17665</v>
      </c>
      <c r="F71" s="27"/>
      <c r="G71" s="28"/>
      <c r="H71" s="29">
        <f>SUM(E71:G71)</f>
        <v>17665</v>
      </c>
      <c r="I71" s="27">
        <f>SUM(D71+H71)</f>
        <v>17665</v>
      </c>
      <c r="J71" s="29">
        <v>13249</v>
      </c>
      <c r="K71" s="47">
        <f>+J71/9*3</f>
        <v>4416.333333333333</v>
      </c>
      <c r="L71" s="29">
        <f>+K71+J71</f>
        <v>17665.333333333332</v>
      </c>
      <c r="M71" s="27">
        <f>I71-L71</f>
        <v>-0.3333333333321207</v>
      </c>
      <c r="N71" s="24">
        <f t="shared" si="19"/>
        <v>-1.886970468905297E-05</v>
      </c>
    </row>
    <row r="72" spans="1:14" s="30" customFormat="1" ht="12.75">
      <c r="A72" s="25" t="s">
        <v>28</v>
      </c>
      <c r="B72" s="27"/>
      <c r="C72" s="27"/>
      <c r="D72" s="27"/>
      <c r="E72" s="27"/>
      <c r="F72" s="27"/>
      <c r="G72" s="28"/>
      <c r="H72" s="29">
        <f>SUM(E72:G72)</f>
        <v>0</v>
      </c>
      <c r="I72" s="27">
        <f>SUM(D72+H72)</f>
        <v>0</v>
      </c>
      <c r="J72" s="29"/>
      <c r="K72" s="47">
        <f>+J72/9*3</f>
        <v>0</v>
      </c>
      <c r="L72" s="29">
        <f>+K72+J72</f>
        <v>0</v>
      </c>
      <c r="M72" s="27">
        <f>I72-L72</f>
        <v>0</v>
      </c>
      <c r="N72" s="24" t="e">
        <f t="shared" si="19"/>
        <v>#DIV/0!</v>
      </c>
    </row>
    <row r="73" spans="1:14" s="1" customFormat="1" ht="12.75">
      <c r="A73" s="17" t="s">
        <v>29</v>
      </c>
      <c r="B73" s="22">
        <f aca="true" t="shared" si="20" ref="B73:M73">SUM(B74:B78)</f>
        <v>2635000</v>
      </c>
      <c r="C73" s="22">
        <f t="shared" si="20"/>
        <v>0</v>
      </c>
      <c r="D73" s="22">
        <f t="shared" si="20"/>
        <v>2635000</v>
      </c>
      <c r="E73" s="22">
        <f t="shared" si="20"/>
        <v>2614203</v>
      </c>
      <c r="F73" s="22">
        <f t="shared" si="20"/>
        <v>0</v>
      </c>
      <c r="G73" s="22">
        <f t="shared" si="20"/>
        <v>0</v>
      </c>
      <c r="H73" s="23">
        <f t="shared" si="20"/>
        <v>2614203</v>
      </c>
      <c r="I73" s="22">
        <f t="shared" si="20"/>
        <v>5249203</v>
      </c>
      <c r="J73" s="22">
        <f t="shared" si="20"/>
        <v>3936902</v>
      </c>
      <c r="K73" s="59">
        <f t="shared" si="20"/>
        <v>1312300.6666666665</v>
      </c>
      <c r="L73" s="22">
        <f t="shared" si="20"/>
        <v>5249202.666666666</v>
      </c>
      <c r="M73" s="22">
        <f t="shared" si="20"/>
        <v>0.33333333348855376</v>
      </c>
      <c r="N73" s="24">
        <f t="shared" si="19"/>
        <v>6.350170368502681E-08</v>
      </c>
    </row>
    <row r="74" spans="1:14" s="30" customFormat="1" ht="12.75">
      <c r="A74" s="25" t="s">
        <v>30</v>
      </c>
      <c r="B74" s="27">
        <v>2635000</v>
      </c>
      <c r="C74" s="27"/>
      <c r="D74" s="27">
        <f>SUM(B74:C74)</f>
        <v>2635000</v>
      </c>
      <c r="E74" s="27">
        <v>421687</v>
      </c>
      <c r="F74" s="27"/>
      <c r="G74" s="28"/>
      <c r="H74" s="29">
        <f>SUM(E74:G74)</f>
        <v>421687</v>
      </c>
      <c r="I74" s="27">
        <f>SUM(D74+H74)</f>
        <v>3056687</v>
      </c>
      <c r="J74" s="29">
        <v>2292515</v>
      </c>
      <c r="K74" s="47">
        <f>+J74/9*3</f>
        <v>764171.6666666666</v>
      </c>
      <c r="L74" s="29">
        <f>+K74+J74</f>
        <v>3056686.6666666665</v>
      </c>
      <c r="M74" s="27">
        <f>I74-L74</f>
        <v>0.33333333348855376</v>
      </c>
      <c r="N74" s="24">
        <f t="shared" si="19"/>
        <v>1.0905052872229108E-07</v>
      </c>
    </row>
    <row r="75" spans="1:14" s="30" customFormat="1" ht="12.75">
      <c r="A75" s="25" t="s">
        <v>31</v>
      </c>
      <c r="B75" s="27">
        <v>0</v>
      </c>
      <c r="C75" s="27">
        <v>0</v>
      </c>
      <c r="D75" s="27">
        <f>SUM(B75:C75)</f>
        <v>0</v>
      </c>
      <c r="E75" s="27"/>
      <c r="F75" s="27"/>
      <c r="G75" s="28"/>
      <c r="H75" s="29">
        <f>SUM(E75:G75)</f>
        <v>0</v>
      </c>
      <c r="I75" s="27">
        <f>SUM(D75+H75)</f>
        <v>0</v>
      </c>
      <c r="J75" s="29"/>
      <c r="K75" s="47">
        <f>+J75/9*3</f>
        <v>0</v>
      </c>
      <c r="L75" s="29">
        <f>+K75+J75</f>
        <v>0</v>
      </c>
      <c r="M75" s="27">
        <f>I75-L75</f>
        <v>0</v>
      </c>
      <c r="N75" s="24" t="e">
        <f t="shared" si="19"/>
        <v>#DIV/0!</v>
      </c>
    </row>
    <row r="76" spans="1:14" s="30" customFormat="1" ht="12.75">
      <c r="A76" s="25" t="s">
        <v>32</v>
      </c>
      <c r="B76" s="27"/>
      <c r="C76" s="27">
        <v>0</v>
      </c>
      <c r="D76" s="27">
        <f>SUM(B76:C76)</f>
        <v>0</v>
      </c>
      <c r="E76" s="27"/>
      <c r="F76" s="27"/>
      <c r="G76" s="28"/>
      <c r="H76" s="29">
        <f>SUM(E76:G76)</f>
        <v>0</v>
      </c>
      <c r="I76" s="27">
        <f>SUM(D76+H76)</f>
        <v>0</v>
      </c>
      <c r="J76" s="29"/>
      <c r="K76" s="47">
        <f>+J76/9*3</f>
        <v>0</v>
      </c>
      <c r="L76" s="29">
        <f>+K76+J76</f>
        <v>0</v>
      </c>
      <c r="M76" s="27">
        <f>I76-L76</f>
        <v>0</v>
      </c>
      <c r="N76" s="24" t="e">
        <f t="shared" si="19"/>
        <v>#DIV/0!</v>
      </c>
    </row>
    <row r="77" spans="1:14" s="30" customFormat="1" ht="12.75">
      <c r="A77" s="25" t="s">
        <v>33</v>
      </c>
      <c r="B77" s="27"/>
      <c r="C77" s="27">
        <v>0</v>
      </c>
      <c r="D77" s="27">
        <f>SUM(B77:C77)</f>
        <v>0</v>
      </c>
      <c r="E77" s="27"/>
      <c r="F77" s="27"/>
      <c r="G77" s="28"/>
      <c r="H77" s="29">
        <f>SUM(E77:G77)</f>
        <v>0</v>
      </c>
      <c r="I77" s="27">
        <f>SUM(D77+H77)</f>
        <v>0</v>
      </c>
      <c r="J77" s="29"/>
      <c r="K77" s="47">
        <f>+J77/9*3</f>
        <v>0</v>
      </c>
      <c r="L77" s="29">
        <f>+K77+J77</f>
        <v>0</v>
      </c>
      <c r="M77" s="27">
        <f>I77-L77</f>
        <v>0</v>
      </c>
      <c r="N77" s="24" t="e">
        <f t="shared" si="19"/>
        <v>#DIV/0!</v>
      </c>
    </row>
    <row r="78" spans="1:15" s="30" customFormat="1" ht="12.75">
      <c r="A78" s="25" t="s">
        <v>34</v>
      </c>
      <c r="B78" s="27">
        <v>0</v>
      </c>
      <c r="C78" s="27"/>
      <c r="D78" s="27">
        <f>SUM(B78:C78)</f>
        <v>0</v>
      </c>
      <c r="E78" s="27">
        <v>2192516</v>
      </c>
      <c r="F78" s="27"/>
      <c r="G78" s="28"/>
      <c r="H78" s="29">
        <f>SUM(E78:G78)</f>
        <v>2192516</v>
      </c>
      <c r="I78" s="27">
        <f>SUM(D78+H78)</f>
        <v>2192516</v>
      </c>
      <c r="J78" s="29">
        <v>1644387</v>
      </c>
      <c r="K78" s="47">
        <f>+J78/9*3</f>
        <v>548129</v>
      </c>
      <c r="L78" s="29">
        <f>+K78+J78</f>
        <v>2192516</v>
      </c>
      <c r="M78" s="27">
        <f>I78-L78</f>
        <v>0</v>
      </c>
      <c r="N78" s="24">
        <f t="shared" si="19"/>
        <v>0</v>
      </c>
      <c r="O78" s="4"/>
    </row>
    <row r="79" spans="1:15" s="1" customFormat="1" ht="12.75">
      <c r="A79" s="17" t="s">
        <v>35</v>
      </c>
      <c r="B79" s="22">
        <f aca="true" t="shared" si="21" ref="B79:M79">SUM(B80:B82)</f>
        <v>15980000</v>
      </c>
      <c r="C79" s="22">
        <f t="shared" si="21"/>
        <v>0</v>
      </c>
      <c r="D79" s="22">
        <f t="shared" si="21"/>
        <v>15980000</v>
      </c>
      <c r="E79" s="22">
        <f t="shared" si="21"/>
        <v>0</v>
      </c>
      <c r="F79" s="22">
        <f t="shared" si="21"/>
        <v>0</v>
      </c>
      <c r="G79" s="22">
        <f t="shared" si="21"/>
        <v>0</v>
      </c>
      <c r="H79" s="23">
        <f t="shared" si="21"/>
        <v>0</v>
      </c>
      <c r="I79" s="22">
        <f t="shared" si="21"/>
        <v>15980000</v>
      </c>
      <c r="J79" s="22">
        <f t="shared" si="21"/>
        <v>2809541</v>
      </c>
      <c r="K79" s="59">
        <f t="shared" si="21"/>
        <v>936513.6666666666</v>
      </c>
      <c r="L79" s="22">
        <f t="shared" si="21"/>
        <v>3746054.6666666665</v>
      </c>
      <c r="M79" s="22">
        <f t="shared" si="21"/>
        <v>12233945.333333334</v>
      </c>
      <c r="N79" s="24">
        <f t="shared" si="19"/>
        <v>0.7655785565289946</v>
      </c>
      <c r="O79" s="31"/>
    </row>
    <row r="80" spans="1:14" s="30" customFormat="1" ht="12.75">
      <c r="A80" s="25" t="s">
        <v>36</v>
      </c>
      <c r="B80" s="27">
        <v>0</v>
      </c>
      <c r="C80" s="27"/>
      <c r="D80" s="27">
        <f>SUM(B80:C80)</f>
        <v>0</v>
      </c>
      <c r="E80" s="27">
        <v>6436</v>
      </c>
      <c r="F80" s="27"/>
      <c r="G80" s="28"/>
      <c r="H80" s="29">
        <f>SUM(E80:G80)</f>
        <v>6436</v>
      </c>
      <c r="I80" s="27">
        <f>SUM(D80+H80)</f>
        <v>6436</v>
      </c>
      <c r="J80" s="29">
        <v>4827</v>
      </c>
      <c r="K80" s="47">
        <f>+J80/9*3</f>
        <v>1609</v>
      </c>
      <c r="L80" s="29">
        <f>+K80+J80</f>
        <v>6436</v>
      </c>
      <c r="M80" s="27">
        <f>I80-L80</f>
        <v>0</v>
      </c>
      <c r="N80" s="24">
        <f t="shared" si="19"/>
        <v>0</v>
      </c>
    </row>
    <row r="81" spans="1:14" s="30" customFormat="1" ht="12.75">
      <c r="A81" s="25" t="s">
        <v>37</v>
      </c>
      <c r="B81" s="27">
        <v>15980000</v>
      </c>
      <c r="C81" s="27"/>
      <c r="D81" s="27">
        <f>SUM(B81:C81)</f>
        <v>15980000</v>
      </c>
      <c r="E81" s="27">
        <v>-6436</v>
      </c>
      <c r="F81" s="27"/>
      <c r="G81" s="28"/>
      <c r="H81" s="29">
        <f>SUM(E81:G81)</f>
        <v>-6436</v>
      </c>
      <c r="I81" s="27">
        <f>SUM(D81+H81)</f>
        <v>15973564</v>
      </c>
      <c r="J81" s="29">
        <v>2804714</v>
      </c>
      <c r="K81" s="47">
        <f>+J81/9*3</f>
        <v>934904.6666666666</v>
      </c>
      <c r="L81" s="29">
        <f>+K81+J81</f>
        <v>3739618.6666666665</v>
      </c>
      <c r="M81" s="27">
        <f>I81-L81</f>
        <v>12233945.333333334</v>
      </c>
      <c r="N81" s="24">
        <f t="shared" si="19"/>
        <v>0.7658870201623967</v>
      </c>
    </row>
    <row r="82" spans="1:14" s="30" customFormat="1" ht="12.75">
      <c r="A82" s="25" t="s">
        <v>38</v>
      </c>
      <c r="B82" s="27">
        <v>0</v>
      </c>
      <c r="C82" s="27"/>
      <c r="D82" s="27">
        <f>SUM(B82:C82)</f>
        <v>0</v>
      </c>
      <c r="E82" s="27"/>
      <c r="F82" s="27"/>
      <c r="G82" s="28"/>
      <c r="H82" s="29">
        <f>SUM(E82:G82)</f>
        <v>0</v>
      </c>
      <c r="I82" s="27">
        <f>SUM(D82+H82)</f>
        <v>0</v>
      </c>
      <c r="J82" s="29"/>
      <c r="K82" s="47">
        <f>+J82/9*3</f>
        <v>0</v>
      </c>
      <c r="L82" s="29">
        <f>+K82+J82</f>
        <v>0</v>
      </c>
      <c r="M82" s="27">
        <f>I82-L82</f>
        <v>0</v>
      </c>
      <c r="N82" s="24" t="e">
        <f t="shared" si="19"/>
        <v>#DIV/0!</v>
      </c>
    </row>
    <row r="83" spans="1:14" s="1" customFormat="1" ht="13.5" thickBot="1">
      <c r="A83" s="32" t="s">
        <v>0</v>
      </c>
      <c r="B83" s="33">
        <f>+B79+B73+B67</f>
        <v>1272810000</v>
      </c>
      <c r="C83" s="33">
        <f aca="true" t="shared" si="22" ref="C83:I83">+C79+C73+C67</f>
        <v>82000000</v>
      </c>
      <c r="D83" s="33">
        <f t="shared" si="22"/>
        <v>1354810000</v>
      </c>
      <c r="E83" s="33">
        <f t="shared" si="22"/>
        <v>0</v>
      </c>
      <c r="F83" s="33">
        <f t="shared" si="22"/>
        <v>0</v>
      </c>
      <c r="G83" s="33">
        <f t="shared" si="22"/>
        <v>0</v>
      </c>
      <c r="H83" s="34">
        <f t="shared" si="22"/>
        <v>0</v>
      </c>
      <c r="I83" s="33">
        <f t="shared" si="22"/>
        <v>1354810000</v>
      </c>
      <c r="J83" s="34">
        <f>+J79+J73+J67</f>
        <v>934535705</v>
      </c>
      <c r="K83" s="60">
        <f>+K79+K73+K67</f>
        <v>311511901.6666666</v>
      </c>
      <c r="L83" s="34">
        <f>+L79+L73+L67</f>
        <v>1246047606.6666665</v>
      </c>
      <c r="M83" s="34">
        <f>+M79+M73+M67</f>
        <v>108762393.33333328</v>
      </c>
      <c r="N83" s="35">
        <f>SUM(M83/I83)</f>
        <v>0.0802787057471773</v>
      </c>
    </row>
    <row r="84" spans="1:14" s="3" customFormat="1" ht="13.5" thickTop="1">
      <c r="A84" s="36" t="s">
        <v>39</v>
      </c>
      <c r="B84" s="37"/>
      <c r="C84" s="37"/>
      <c r="D84" s="37">
        <f>ROUND((+D83*0.08),-3)</f>
        <v>108385000</v>
      </c>
      <c r="E84" s="37"/>
      <c r="F84" s="38"/>
      <c r="G84" s="39"/>
      <c r="H84" s="38"/>
      <c r="I84" s="37"/>
      <c r="J84" s="38"/>
      <c r="K84" s="61"/>
      <c r="L84" s="38"/>
      <c r="M84" s="37"/>
      <c r="N84" s="40"/>
    </row>
    <row r="85" spans="1:14" s="46" customFormat="1" ht="12.75">
      <c r="A85" s="41"/>
      <c r="B85" s="42"/>
      <c r="C85" s="42"/>
      <c r="D85" s="42"/>
      <c r="E85" s="42"/>
      <c r="F85" s="43"/>
      <c r="G85" s="44"/>
      <c r="H85" s="43"/>
      <c r="I85" s="42"/>
      <c r="J85" s="43"/>
      <c r="K85" s="62"/>
      <c r="L85" s="43"/>
      <c r="M85" s="42"/>
      <c r="N85" s="45"/>
    </row>
    <row r="86" spans="1:14" ht="12.75">
      <c r="A86" s="17" t="s">
        <v>43</v>
      </c>
      <c r="B86" s="18"/>
      <c r="C86" s="18"/>
      <c r="D86" s="18"/>
      <c r="E86" s="18"/>
      <c r="F86" s="18"/>
      <c r="G86" s="19"/>
      <c r="H86" s="20"/>
      <c r="I86" s="18"/>
      <c r="J86" s="20"/>
      <c r="K86" s="58"/>
      <c r="L86" s="20"/>
      <c r="M86" s="18"/>
      <c r="N86" s="21"/>
    </row>
    <row r="87" spans="1:14" s="1" customFormat="1" ht="12.75">
      <c r="A87" s="17" t="s">
        <v>23</v>
      </c>
      <c r="B87" s="22">
        <f aca="true" t="shared" si="23" ref="B87:M87">SUM(B88:B92)</f>
        <v>122862000</v>
      </c>
      <c r="C87" s="22">
        <f t="shared" si="23"/>
        <v>10000000</v>
      </c>
      <c r="D87" s="22">
        <f t="shared" si="23"/>
        <v>132862000</v>
      </c>
      <c r="E87" s="22">
        <f t="shared" si="23"/>
        <v>-97</v>
      </c>
      <c r="F87" s="22">
        <f t="shared" si="23"/>
        <v>0</v>
      </c>
      <c r="G87" s="22">
        <f t="shared" si="23"/>
        <v>0</v>
      </c>
      <c r="H87" s="23">
        <f t="shared" si="23"/>
        <v>-97</v>
      </c>
      <c r="I87" s="22">
        <f t="shared" si="23"/>
        <v>132861903</v>
      </c>
      <c r="J87" s="22">
        <f t="shared" si="23"/>
        <v>67357267</v>
      </c>
      <c r="K87" s="59">
        <f t="shared" si="23"/>
        <v>22452422.333333336</v>
      </c>
      <c r="L87" s="22">
        <f t="shared" si="23"/>
        <v>89809689.33333334</v>
      </c>
      <c r="M87" s="22">
        <f t="shared" si="23"/>
        <v>43052213.666666664</v>
      </c>
      <c r="N87" s="24">
        <f aca="true" t="shared" si="24" ref="N87:N102">SUM(M87/I87)</f>
        <v>0.32403731012844716</v>
      </c>
    </row>
    <row r="88" spans="1:14" s="30" customFormat="1" ht="12.75">
      <c r="A88" s="25" t="s">
        <v>24</v>
      </c>
      <c r="B88" s="27">
        <v>390000</v>
      </c>
      <c r="C88" s="27"/>
      <c r="D88" s="27">
        <f>SUM(B88:C88)</f>
        <v>390000</v>
      </c>
      <c r="E88" s="27"/>
      <c r="F88" s="27"/>
      <c r="G88" s="28"/>
      <c r="H88" s="29">
        <f>SUM(E88:G88)</f>
        <v>0</v>
      </c>
      <c r="I88" s="27">
        <f>SUM(D88+H88)</f>
        <v>390000</v>
      </c>
      <c r="J88" s="29">
        <v>288431</v>
      </c>
      <c r="K88" s="47">
        <f>+J88/9*3</f>
        <v>96143.66666666667</v>
      </c>
      <c r="L88" s="29">
        <f>+K88+J88</f>
        <v>384574.6666666667</v>
      </c>
      <c r="M88" s="27">
        <f>I88-L88</f>
        <v>5425.333333333314</v>
      </c>
      <c r="N88" s="24">
        <f t="shared" si="24"/>
        <v>0.013911111111111062</v>
      </c>
    </row>
    <row r="89" spans="1:14" s="30" customFormat="1" ht="12.75">
      <c r="A89" s="25" t="s">
        <v>25</v>
      </c>
      <c r="B89" s="27">
        <v>122472000</v>
      </c>
      <c r="C89" s="27">
        <v>10000000</v>
      </c>
      <c r="D89" s="27">
        <f>SUM(B89:C89)</f>
        <v>132472000</v>
      </c>
      <c r="E89" s="27">
        <v>-97</v>
      </c>
      <c r="F89" s="27"/>
      <c r="G89" s="28"/>
      <c r="H89" s="29">
        <f>SUM(E89:G89)</f>
        <v>-97</v>
      </c>
      <c r="I89" s="27">
        <f>SUM(D89+H89)</f>
        <v>132471903</v>
      </c>
      <c r="J89" s="29">
        <v>67068836</v>
      </c>
      <c r="K89" s="47">
        <f>+J89/9*3</f>
        <v>22356278.666666668</v>
      </c>
      <c r="L89" s="29">
        <f>+K89+J89</f>
        <v>89425114.66666667</v>
      </c>
      <c r="M89" s="27">
        <f>I89-L89</f>
        <v>43046788.33333333</v>
      </c>
      <c r="N89" s="24">
        <f t="shared" si="24"/>
        <v>0.3249503280203752</v>
      </c>
    </row>
    <row r="90" spans="1:14" s="30" customFormat="1" ht="12.75">
      <c r="A90" s="25" t="s">
        <v>26</v>
      </c>
      <c r="B90" s="27"/>
      <c r="C90" s="27"/>
      <c r="D90" s="27">
        <f>SUM(B90:C90)</f>
        <v>0</v>
      </c>
      <c r="E90" s="27"/>
      <c r="F90" s="27"/>
      <c r="G90" s="28"/>
      <c r="H90" s="29">
        <f>SUM(E90:G90)</f>
        <v>0</v>
      </c>
      <c r="I90" s="27">
        <f>SUM(D90+H90)</f>
        <v>0</v>
      </c>
      <c r="J90" s="29"/>
      <c r="K90" s="47">
        <f>+J90/9*3</f>
        <v>0</v>
      </c>
      <c r="L90" s="29">
        <f>+K90+J90</f>
        <v>0</v>
      </c>
      <c r="M90" s="27">
        <f>I90-L90</f>
        <v>0</v>
      </c>
      <c r="N90" s="24" t="e">
        <f t="shared" si="24"/>
        <v>#DIV/0!</v>
      </c>
    </row>
    <row r="91" spans="1:14" s="30" customFormat="1" ht="12.75">
      <c r="A91" s="25" t="s">
        <v>27</v>
      </c>
      <c r="B91" s="27"/>
      <c r="C91" s="27"/>
      <c r="D91" s="27">
        <f>SUM(B91:C91)</f>
        <v>0</v>
      </c>
      <c r="E91" s="27"/>
      <c r="F91" s="27"/>
      <c r="G91" s="28"/>
      <c r="H91" s="29">
        <f>SUM(E91:G91)</f>
        <v>0</v>
      </c>
      <c r="I91" s="27">
        <f>SUM(D91+H91)</f>
        <v>0</v>
      </c>
      <c r="J91" s="29"/>
      <c r="K91" s="47">
        <f>+J91/9*3</f>
        <v>0</v>
      </c>
      <c r="L91" s="29">
        <f>+K91+J91</f>
        <v>0</v>
      </c>
      <c r="M91" s="27">
        <f>I91-L91</f>
        <v>0</v>
      </c>
      <c r="N91" s="24" t="e">
        <f t="shared" si="24"/>
        <v>#DIV/0!</v>
      </c>
    </row>
    <row r="92" spans="1:14" s="30" customFormat="1" ht="12.75">
      <c r="A92" s="25" t="s">
        <v>28</v>
      </c>
      <c r="B92" s="27"/>
      <c r="C92" s="27"/>
      <c r="D92" s="27"/>
      <c r="E92" s="27"/>
      <c r="F92" s="27"/>
      <c r="G92" s="28"/>
      <c r="H92" s="29">
        <f>SUM(E92:G92)</f>
        <v>0</v>
      </c>
      <c r="I92" s="27">
        <f>SUM(D92+H92)</f>
        <v>0</v>
      </c>
      <c r="J92" s="29"/>
      <c r="K92" s="47">
        <f>+J92/9*3</f>
        <v>0</v>
      </c>
      <c r="L92" s="29">
        <f>+K92+J92</f>
        <v>0</v>
      </c>
      <c r="M92" s="27">
        <f>I92-L92</f>
        <v>0</v>
      </c>
      <c r="N92" s="24" t="e">
        <f t="shared" si="24"/>
        <v>#DIV/0!</v>
      </c>
    </row>
    <row r="93" spans="1:14" s="1" customFormat="1" ht="12.75">
      <c r="A93" s="17" t="s">
        <v>29</v>
      </c>
      <c r="B93" s="22">
        <f aca="true" t="shared" si="25" ref="B93:L93">SUM(B94:B98)</f>
        <v>682122000</v>
      </c>
      <c r="C93" s="22">
        <f t="shared" si="25"/>
        <v>0</v>
      </c>
      <c r="D93" s="22">
        <f t="shared" si="25"/>
        <v>682122000</v>
      </c>
      <c r="E93" s="22">
        <f t="shared" si="25"/>
        <v>97</v>
      </c>
      <c r="F93" s="22">
        <f t="shared" si="25"/>
        <v>0</v>
      </c>
      <c r="G93" s="22">
        <f t="shared" si="25"/>
        <v>0</v>
      </c>
      <c r="H93" s="22">
        <f t="shared" si="25"/>
        <v>97</v>
      </c>
      <c r="I93" s="22">
        <f t="shared" si="25"/>
        <v>682122097</v>
      </c>
      <c r="J93" s="22">
        <f t="shared" si="25"/>
        <v>518440823</v>
      </c>
      <c r="K93" s="59">
        <f t="shared" si="25"/>
        <v>163681274.33333334</v>
      </c>
      <c r="L93" s="22">
        <f t="shared" si="25"/>
        <v>682122097.3333334</v>
      </c>
      <c r="M93" s="22">
        <f>+M94+M95+M96+M98</f>
        <v>-0.33333333333325754</v>
      </c>
      <c r="N93" s="24">
        <f t="shared" si="24"/>
        <v>-4.886710675394783E-10</v>
      </c>
    </row>
    <row r="94" spans="1:14" s="30" customFormat="1" ht="12.75">
      <c r="A94" s="25" t="s">
        <v>30</v>
      </c>
      <c r="B94" s="27">
        <v>1000</v>
      </c>
      <c r="C94" s="27"/>
      <c r="D94" s="27">
        <f>SUM(B94:C94)</f>
        <v>1000</v>
      </c>
      <c r="E94" s="27">
        <v>97</v>
      </c>
      <c r="F94" s="27"/>
      <c r="G94" s="28"/>
      <c r="H94" s="29">
        <f>SUM(E94:G94)</f>
        <v>97</v>
      </c>
      <c r="I94" s="27">
        <f>SUM(D94+H94)</f>
        <v>1097</v>
      </c>
      <c r="J94" s="29">
        <v>823</v>
      </c>
      <c r="K94" s="47">
        <f>+J94/9*3</f>
        <v>274.3333333333333</v>
      </c>
      <c r="L94" s="29">
        <f>+K94+J94</f>
        <v>1097.3333333333333</v>
      </c>
      <c r="M94" s="27">
        <f>I94-L94</f>
        <v>-0.33333333333325754</v>
      </c>
      <c r="N94" s="24">
        <f t="shared" si="24"/>
        <v>-0.0003038590094195602</v>
      </c>
    </row>
    <row r="95" spans="1:14" s="30" customFormat="1" ht="12.75">
      <c r="A95" s="25" t="s">
        <v>31</v>
      </c>
      <c r="B95" s="27">
        <v>682121000</v>
      </c>
      <c r="C95" s="27"/>
      <c r="D95" s="27">
        <f>SUM(B95:C95)</f>
        <v>682121000</v>
      </c>
      <c r="E95" s="27"/>
      <c r="F95" s="27"/>
      <c r="G95" s="28"/>
      <c r="H95" s="29"/>
      <c r="I95" s="27">
        <f>SUM(D95+H95)</f>
        <v>682121000</v>
      </c>
      <c r="J95" s="29">
        <v>518440000</v>
      </c>
      <c r="K95" s="47">
        <v>163681000</v>
      </c>
      <c r="L95" s="29">
        <f>+K95+J95</f>
        <v>682121000</v>
      </c>
      <c r="M95" s="27">
        <f>I95-L95</f>
        <v>0</v>
      </c>
      <c r="N95" s="24">
        <f t="shared" si="24"/>
        <v>0</v>
      </c>
    </row>
    <row r="96" spans="1:14" s="30" customFormat="1" ht="12.75">
      <c r="A96" s="25" t="s">
        <v>32</v>
      </c>
      <c r="B96" s="27">
        <v>0</v>
      </c>
      <c r="C96" s="27"/>
      <c r="D96" s="27">
        <f>SUM(B96:C96)</f>
        <v>0</v>
      </c>
      <c r="E96" s="27"/>
      <c r="F96" s="27"/>
      <c r="G96" s="28"/>
      <c r="H96" s="29">
        <f>SUM(E96:G96)</f>
        <v>0</v>
      </c>
      <c r="I96" s="27">
        <f>SUM(D96+H96)</f>
        <v>0</v>
      </c>
      <c r="J96" s="29"/>
      <c r="K96" s="47">
        <f>+J96/9*3</f>
        <v>0</v>
      </c>
      <c r="L96" s="29">
        <f>+K96+J96</f>
        <v>0</v>
      </c>
      <c r="M96" s="27">
        <f>I96-L96</f>
        <v>0</v>
      </c>
      <c r="N96" s="24" t="e">
        <f t="shared" si="24"/>
        <v>#DIV/0!</v>
      </c>
    </row>
    <row r="97" spans="1:14" s="30" customFormat="1" ht="12.75">
      <c r="A97" s="25" t="s">
        <v>33</v>
      </c>
      <c r="B97" s="27"/>
      <c r="C97" s="27">
        <v>0</v>
      </c>
      <c r="D97" s="27">
        <f>SUM(B97:C97)</f>
        <v>0</v>
      </c>
      <c r="E97" s="27"/>
      <c r="F97" s="27"/>
      <c r="G97" s="28"/>
      <c r="H97" s="29">
        <f>SUM(E97:G97)</f>
        <v>0</v>
      </c>
      <c r="I97" s="27">
        <f>SUM(D97+H97)</f>
        <v>0</v>
      </c>
      <c r="J97" s="29"/>
      <c r="K97" s="47">
        <f>+J97/9*3</f>
        <v>0</v>
      </c>
      <c r="L97" s="29">
        <f>+K97+J97</f>
        <v>0</v>
      </c>
      <c r="M97" s="27">
        <f>I97-L97</f>
        <v>0</v>
      </c>
      <c r="N97" s="24" t="e">
        <f t="shared" si="24"/>
        <v>#DIV/0!</v>
      </c>
    </row>
    <row r="98" spans="1:15" s="30" customFormat="1" ht="12.75">
      <c r="A98" s="25" t="s">
        <v>34</v>
      </c>
      <c r="B98" s="27">
        <v>0</v>
      </c>
      <c r="C98" s="27"/>
      <c r="D98" s="27">
        <f>SUM(B98:C98)</f>
        <v>0</v>
      </c>
      <c r="E98" s="27"/>
      <c r="F98" s="27"/>
      <c r="G98" s="28"/>
      <c r="H98" s="29">
        <f>SUM(E98:G98)</f>
        <v>0</v>
      </c>
      <c r="I98" s="27">
        <f>SUM(D98+H98)</f>
        <v>0</v>
      </c>
      <c r="J98" s="29"/>
      <c r="K98" s="47">
        <f>+J98/9*3</f>
        <v>0</v>
      </c>
      <c r="L98" s="29">
        <f>+K98+J98</f>
        <v>0</v>
      </c>
      <c r="M98" s="27">
        <f>I98-L98</f>
        <v>0</v>
      </c>
      <c r="N98" s="24" t="e">
        <f t="shared" si="24"/>
        <v>#DIV/0!</v>
      </c>
      <c r="O98" s="4"/>
    </row>
    <row r="99" spans="1:15" s="1" customFormat="1" ht="12.75">
      <c r="A99" s="17" t="s">
        <v>35</v>
      </c>
      <c r="B99" s="22">
        <f aca="true" t="shared" si="26" ref="B99:M99">SUM(B100:B102)</f>
        <v>33259000</v>
      </c>
      <c r="C99" s="22">
        <f t="shared" si="26"/>
        <v>-10000000</v>
      </c>
      <c r="D99" s="22">
        <f t="shared" si="26"/>
        <v>23259000</v>
      </c>
      <c r="E99" s="22"/>
      <c r="F99" s="22"/>
      <c r="G99" s="22">
        <f t="shared" si="26"/>
        <v>0</v>
      </c>
      <c r="H99" s="23">
        <f t="shared" si="26"/>
        <v>0</v>
      </c>
      <c r="I99" s="22">
        <f t="shared" si="26"/>
        <v>23259000</v>
      </c>
      <c r="J99" s="22">
        <f t="shared" si="26"/>
        <v>5546539</v>
      </c>
      <c r="K99" s="59">
        <f t="shared" si="26"/>
        <v>1848846.3333333335</v>
      </c>
      <c r="L99" s="22">
        <f t="shared" si="26"/>
        <v>7395385.333333334</v>
      </c>
      <c r="M99" s="22">
        <f t="shared" si="26"/>
        <v>15863614.666666666</v>
      </c>
      <c r="N99" s="24">
        <f t="shared" si="24"/>
        <v>0.6820419909139115</v>
      </c>
      <c r="O99" s="31"/>
    </row>
    <row r="100" spans="1:14" s="30" customFormat="1" ht="12.75">
      <c r="A100" s="25" t="s">
        <v>36</v>
      </c>
      <c r="B100" s="27">
        <v>0</v>
      </c>
      <c r="C100" s="27"/>
      <c r="D100" s="27">
        <f>SUM(B100:C100)</f>
        <v>0</v>
      </c>
      <c r="E100" s="27"/>
      <c r="F100" s="27"/>
      <c r="G100" s="28"/>
      <c r="H100" s="29">
        <f>SUM(E100:G100)</f>
        <v>0</v>
      </c>
      <c r="I100" s="27">
        <f>SUM(D100+H100)</f>
        <v>0</v>
      </c>
      <c r="J100" s="29"/>
      <c r="K100" s="47">
        <f>+J100/9*3</f>
        <v>0</v>
      </c>
      <c r="L100" s="29">
        <f>+K100+J100</f>
        <v>0</v>
      </c>
      <c r="M100" s="27">
        <f>I100-L100</f>
        <v>0</v>
      </c>
      <c r="N100" s="24" t="e">
        <f t="shared" si="24"/>
        <v>#DIV/0!</v>
      </c>
    </row>
    <row r="101" spans="1:14" s="30" customFormat="1" ht="12.75">
      <c r="A101" s="25" t="s">
        <v>37</v>
      </c>
      <c r="B101" s="27">
        <v>33259000</v>
      </c>
      <c r="C101" s="27">
        <v>-10000000</v>
      </c>
      <c r="D101" s="27">
        <f>SUM(B101:C101)</f>
        <v>23259000</v>
      </c>
      <c r="E101" s="27"/>
      <c r="F101" s="27"/>
      <c r="G101" s="28"/>
      <c r="H101" s="29">
        <f>SUM(E101:G101)</f>
        <v>0</v>
      </c>
      <c r="I101" s="27">
        <f>SUM(D101+H101)</f>
        <v>23259000</v>
      </c>
      <c r="J101" s="29">
        <v>5546539</v>
      </c>
      <c r="K101" s="47">
        <f>+J101/9*3</f>
        <v>1848846.3333333335</v>
      </c>
      <c r="L101" s="29">
        <f>+K101+J101</f>
        <v>7395385.333333334</v>
      </c>
      <c r="M101" s="27">
        <f>I101-L101</f>
        <v>15863614.666666666</v>
      </c>
      <c r="N101" s="24">
        <f t="shared" si="24"/>
        <v>0.6820419909139115</v>
      </c>
    </row>
    <row r="102" spans="1:14" s="30" customFormat="1" ht="12.75">
      <c r="A102" s="25" t="s">
        <v>38</v>
      </c>
      <c r="B102" s="27">
        <v>0</v>
      </c>
      <c r="C102" s="27"/>
      <c r="D102" s="27">
        <f>SUM(B102:C102)</f>
        <v>0</v>
      </c>
      <c r="E102" s="27"/>
      <c r="F102" s="27"/>
      <c r="G102" s="28"/>
      <c r="H102" s="29">
        <f>SUM(E102:G102)</f>
        <v>0</v>
      </c>
      <c r="I102" s="27">
        <f>SUM(D102+H102)</f>
        <v>0</v>
      </c>
      <c r="J102" s="29"/>
      <c r="K102" s="47">
        <f>+J102/9*3</f>
        <v>0</v>
      </c>
      <c r="L102" s="29">
        <f>+K102+J102</f>
        <v>0</v>
      </c>
      <c r="M102" s="27">
        <f>I102-L102</f>
        <v>0</v>
      </c>
      <c r="N102" s="24" t="e">
        <f t="shared" si="24"/>
        <v>#DIV/0!</v>
      </c>
    </row>
    <row r="103" spans="1:14" s="1" customFormat="1" ht="13.5" thickBot="1">
      <c r="A103" s="32" t="s">
        <v>0</v>
      </c>
      <c r="B103" s="33">
        <f>+B99+B93+B87</f>
        <v>838243000</v>
      </c>
      <c r="C103" s="33">
        <f aca="true" t="shared" si="27" ref="C103:M103">+C99+C93+C87</f>
        <v>0</v>
      </c>
      <c r="D103" s="33">
        <f t="shared" si="27"/>
        <v>838243000</v>
      </c>
      <c r="E103" s="33">
        <f t="shared" si="27"/>
        <v>0</v>
      </c>
      <c r="F103" s="33">
        <f t="shared" si="27"/>
        <v>0</v>
      </c>
      <c r="G103" s="33">
        <f t="shared" si="27"/>
        <v>0</v>
      </c>
      <c r="H103" s="33">
        <f t="shared" si="27"/>
        <v>0</v>
      </c>
      <c r="I103" s="33">
        <f t="shared" si="27"/>
        <v>838243000</v>
      </c>
      <c r="J103" s="33">
        <f t="shared" si="27"/>
        <v>591344629</v>
      </c>
      <c r="K103" s="60">
        <f t="shared" si="27"/>
        <v>187982543.00000003</v>
      </c>
      <c r="L103" s="33">
        <f t="shared" si="27"/>
        <v>779327172.0000001</v>
      </c>
      <c r="M103" s="33">
        <f t="shared" si="27"/>
        <v>58915828</v>
      </c>
      <c r="N103" s="35">
        <f>SUM(M103/I103)</f>
        <v>0.07028490306510164</v>
      </c>
    </row>
    <row r="104" spans="1:14" s="3" customFormat="1" ht="13.5" thickTop="1">
      <c r="A104" s="36" t="s">
        <v>39</v>
      </c>
      <c r="B104" s="37"/>
      <c r="C104" s="37"/>
      <c r="D104" s="37">
        <f>ROUND((+D103*0.08),-3)</f>
        <v>67059000</v>
      </c>
      <c r="E104" s="37"/>
      <c r="F104" s="38"/>
      <c r="G104" s="39"/>
      <c r="H104" s="38"/>
      <c r="I104" s="37"/>
      <c r="J104" s="38"/>
      <c r="K104" s="61"/>
      <c r="L104" s="38"/>
      <c r="M104" s="37"/>
      <c r="N104" s="40"/>
    </row>
    <row r="105" spans="1:14" ht="12.75">
      <c r="A105" s="17"/>
      <c r="B105" s="18"/>
      <c r="C105" s="18"/>
      <c r="D105" s="18"/>
      <c r="E105" s="18"/>
      <c r="F105" s="20"/>
      <c r="G105" s="19"/>
      <c r="H105" s="20"/>
      <c r="I105" s="18"/>
      <c r="J105" s="20"/>
      <c r="K105" s="58"/>
      <c r="L105" s="20"/>
      <c r="M105" s="18"/>
      <c r="N105" s="21"/>
    </row>
    <row r="106" spans="1:14" s="1" customFormat="1" ht="13.5" thickBot="1">
      <c r="A106" s="32" t="s">
        <v>44</v>
      </c>
      <c r="B106" s="33">
        <f>+B23+B43+B63+B83+B103</f>
        <v>5072061000</v>
      </c>
      <c r="C106" s="33">
        <f aca="true" t="shared" si="28" ref="C106:M106">+C23+C43+C63+C83+C103</f>
        <v>113672000</v>
      </c>
      <c r="D106" s="33">
        <f t="shared" si="28"/>
        <v>5185733000</v>
      </c>
      <c r="E106" s="33">
        <f t="shared" si="28"/>
        <v>0</v>
      </c>
      <c r="F106" s="33">
        <f t="shared" si="28"/>
        <v>0</v>
      </c>
      <c r="G106" s="33">
        <f t="shared" si="28"/>
        <v>0</v>
      </c>
      <c r="H106" s="33">
        <f t="shared" si="28"/>
        <v>0</v>
      </c>
      <c r="I106" s="33">
        <f t="shared" si="28"/>
        <v>5185733000</v>
      </c>
      <c r="J106" s="33">
        <f t="shared" si="28"/>
        <v>3264947893</v>
      </c>
      <c r="K106" s="60">
        <f t="shared" si="28"/>
        <v>1079183631</v>
      </c>
      <c r="L106" s="33">
        <f t="shared" si="28"/>
        <v>4344131524</v>
      </c>
      <c r="M106" s="33">
        <f t="shared" si="28"/>
        <v>841601476</v>
      </c>
      <c r="N106" s="35">
        <f>SUM(M106/I106)</f>
        <v>0.1622917099665563</v>
      </c>
    </row>
    <row r="107" spans="1:14" s="3" customFormat="1" ht="13.5" thickTop="1">
      <c r="A107" s="36" t="s">
        <v>39</v>
      </c>
      <c r="B107" s="37"/>
      <c r="C107" s="37"/>
      <c r="D107" s="37">
        <f>ROUND((+D106*0.08),-3)</f>
        <v>414859000</v>
      </c>
      <c r="E107" s="37"/>
      <c r="F107" s="38"/>
      <c r="G107" s="39"/>
      <c r="H107" s="38"/>
      <c r="I107" s="37"/>
      <c r="J107" s="38"/>
      <c r="K107" s="61"/>
      <c r="L107" s="38"/>
      <c r="M107" s="37"/>
      <c r="N107" s="40"/>
    </row>
    <row r="108" spans="1:14" s="3" customFormat="1" ht="12.75">
      <c r="A108" s="36"/>
      <c r="B108" s="37"/>
      <c r="C108" s="37"/>
      <c r="D108" s="37"/>
      <c r="E108" s="37"/>
      <c r="F108" s="38"/>
      <c r="G108" s="39"/>
      <c r="H108" s="38"/>
      <c r="I108" s="37"/>
      <c r="J108" s="38"/>
      <c r="K108" s="61"/>
      <c r="L108" s="38"/>
      <c r="M108" s="37"/>
      <c r="N108" s="40"/>
    </row>
    <row r="109" spans="1:14" ht="12.75">
      <c r="A109" s="17" t="s">
        <v>45</v>
      </c>
      <c r="B109" s="18"/>
      <c r="C109" s="18"/>
      <c r="D109" s="27">
        <f>SUM(B109:C109)</f>
        <v>0</v>
      </c>
      <c r="E109" s="18"/>
      <c r="F109" s="20"/>
      <c r="G109" s="19"/>
      <c r="H109" s="20"/>
      <c r="I109" s="27">
        <f>SUM(D109+H109)</f>
        <v>0</v>
      </c>
      <c r="J109" s="20"/>
      <c r="K109" s="47">
        <f>+J109/9*12</f>
        <v>0</v>
      </c>
      <c r="L109" s="29">
        <f>+K109+J109</f>
        <v>0</v>
      </c>
      <c r="M109" s="27">
        <f>I109-L109</f>
        <v>0</v>
      </c>
      <c r="N109" s="21"/>
    </row>
    <row r="110" spans="1:14" s="1" customFormat="1" ht="12.75">
      <c r="A110" s="17" t="s">
        <v>23</v>
      </c>
      <c r="B110" s="22">
        <f aca="true" t="shared" si="29" ref="B110:M110">SUM(B111:B115)</f>
        <v>849977000</v>
      </c>
      <c r="C110" s="22">
        <f t="shared" si="29"/>
        <v>0</v>
      </c>
      <c r="D110" s="22">
        <f t="shared" si="29"/>
        <v>0</v>
      </c>
      <c r="E110" s="22">
        <f t="shared" si="29"/>
        <v>0</v>
      </c>
      <c r="F110" s="22">
        <f t="shared" si="29"/>
        <v>0</v>
      </c>
      <c r="G110" s="22">
        <f t="shared" si="29"/>
        <v>0</v>
      </c>
      <c r="H110" s="23">
        <f t="shared" si="29"/>
        <v>0</v>
      </c>
      <c r="I110" s="22">
        <f t="shared" si="29"/>
        <v>0</v>
      </c>
      <c r="J110" s="22">
        <f t="shared" si="29"/>
        <v>776088564</v>
      </c>
      <c r="K110" s="59">
        <f t="shared" si="29"/>
        <v>258696188</v>
      </c>
      <c r="L110" s="22">
        <f t="shared" si="29"/>
        <v>1034784752</v>
      </c>
      <c r="M110" s="22">
        <f t="shared" si="29"/>
        <v>-1034784752</v>
      </c>
      <c r="N110" s="24" t="e">
        <f aca="true" t="shared" si="30" ref="N110:N125">SUM(M110/I110)</f>
        <v>#DIV/0!</v>
      </c>
    </row>
    <row r="111" spans="1:14" s="30" customFormat="1" ht="12.75">
      <c r="A111" s="25" t="s">
        <v>24</v>
      </c>
      <c r="B111" s="27">
        <f>187877000+662100000</f>
        <v>849977000</v>
      </c>
      <c r="C111" s="27"/>
      <c r="D111" s="27"/>
      <c r="E111" s="27"/>
      <c r="F111" s="27"/>
      <c r="G111" s="28"/>
      <c r="H111" s="29">
        <f>SUM(E111:G111)</f>
        <v>0</v>
      </c>
      <c r="I111" s="27">
        <f>SUM(D111+H111)</f>
        <v>0</v>
      </c>
      <c r="J111" s="29">
        <v>765859614</v>
      </c>
      <c r="K111" s="47">
        <f>+J111/9*3</f>
        <v>255286538</v>
      </c>
      <c r="L111" s="29">
        <f>+K111+J111</f>
        <v>1021146152</v>
      </c>
      <c r="M111" s="27">
        <f>I111-L111</f>
        <v>-1021146152</v>
      </c>
      <c r="N111" s="24" t="e">
        <f t="shared" si="30"/>
        <v>#DIV/0!</v>
      </c>
    </row>
    <row r="112" spans="1:14" s="30" customFormat="1" ht="12.75">
      <c r="A112" s="25" t="s">
        <v>25</v>
      </c>
      <c r="B112" s="27"/>
      <c r="C112" s="27"/>
      <c r="D112" s="27"/>
      <c r="E112" s="27"/>
      <c r="F112" s="27"/>
      <c r="G112" s="28"/>
      <c r="H112" s="29">
        <f>SUM(E112:G112)</f>
        <v>0</v>
      </c>
      <c r="I112" s="27">
        <f>SUM(D112+H112)</f>
        <v>0</v>
      </c>
      <c r="J112" s="29">
        <v>10228950</v>
      </c>
      <c r="K112" s="47">
        <f>+J112/9*3</f>
        <v>3409650</v>
      </c>
      <c r="L112" s="29">
        <f>+K112+J112</f>
        <v>13638600</v>
      </c>
      <c r="M112" s="27">
        <f>I112-L112</f>
        <v>-13638600</v>
      </c>
      <c r="N112" s="24" t="e">
        <f t="shared" si="30"/>
        <v>#DIV/0!</v>
      </c>
    </row>
    <row r="113" spans="1:14" s="30" customFormat="1" ht="12.75">
      <c r="A113" s="25" t="s">
        <v>26</v>
      </c>
      <c r="B113" s="27"/>
      <c r="C113" s="27"/>
      <c r="D113" s="27">
        <f>SUM(B113:C113)</f>
        <v>0</v>
      </c>
      <c r="E113" s="27"/>
      <c r="F113" s="27"/>
      <c r="G113" s="28"/>
      <c r="H113" s="29">
        <f>SUM(E113:G113)</f>
        <v>0</v>
      </c>
      <c r="I113" s="27">
        <f>SUM(D113+H113)</f>
        <v>0</v>
      </c>
      <c r="J113" s="29"/>
      <c r="K113" s="47">
        <f>+J113/9*3</f>
        <v>0</v>
      </c>
      <c r="L113" s="29">
        <f>+K113+J113</f>
        <v>0</v>
      </c>
      <c r="M113" s="27">
        <f>I113-L113</f>
        <v>0</v>
      </c>
      <c r="N113" s="24" t="e">
        <f t="shared" si="30"/>
        <v>#DIV/0!</v>
      </c>
    </row>
    <row r="114" spans="1:14" s="30" customFormat="1" ht="12.75">
      <c r="A114" s="25" t="s">
        <v>27</v>
      </c>
      <c r="B114" s="27"/>
      <c r="C114" s="27"/>
      <c r="D114" s="27">
        <f>SUM(B114:C114)</f>
        <v>0</v>
      </c>
      <c r="E114" s="27"/>
      <c r="F114" s="27"/>
      <c r="G114" s="28"/>
      <c r="H114" s="29">
        <f>SUM(E114:G114)</f>
        <v>0</v>
      </c>
      <c r="I114" s="27">
        <f>SUM(D114+H114)</f>
        <v>0</v>
      </c>
      <c r="J114" s="29"/>
      <c r="K114" s="47">
        <f>+J114/9*3</f>
        <v>0</v>
      </c>
      <c r="L114" s="29">
        <f>+K114+J114</f>
        <v>0</v>
      </c>
      <c r="M114" s="27">
        <f>I114-L114</f>
        <v>0</v>
      </c>
      <c r="N114" s="24" t="e">
        <f t="shared" si="30"/>
        <v>#DIV/0!</v>
      </c>
    </row>
    <row r="115" spans="1:14" s="30" customFormat="1" ht="12.75">
      <c r="A115" s="25" t="s">
        <v>28</v>
      </c>
      <c r="B115" s="27"/>
      <c r="C115" s="27"/>
      <c r="D115" s="27"/>
      <c r="E115" s="27"/>
      <c r="F115" s="27"/>
      <c r="G115" s="28"/>
      <c r="H115" s="29">
        <f>SUM(E115:G115)</f>
        <v>0</v>
      </c>
      <c r="I115" s="27">
        <f>SUM(D115+H115)</f>
        <v>0</v>
      </c>
      <c r="J115" s="29"/>
      <c r="K115" s="47">
        <f>+J115/9*3</f>
        <v>0</v>
      </c>
      <c r="L115" s="29">
        <f>+K115+J115</f>
        <v>0</v>
      </c>
      <c r="M115" s="27">
        <f>I115-L115</f>
        <v>0</v>
      </c>
      <c r="N115" s="24" t="e">
        <f t="shared" si="30"/>
        <v>#DIV/0!</v>
      </c>
    </row>
    <row r="116" spans="1:14" s="1" customFormat="1" ht="12.75">
      <c r="A116" s="17" t="s">
        <v>29</v>
      </c>
      <c r="B116" s="22">
        <f>SUM(B117:B121)</f>
        <v>0</v>
      </c>
      <c r="C116" s="22">
        <f>SUM(C117:C121)</f>
        <v>0</v>
      </c>
      <c r="D116" s="22">
        <f>SUM(D117:D121)</f>
        <v>0</v>
      </c>
      <c r="E116" s="22"/>
      <c r="F116" s="22"/>
      <c r="G116" s="22">
        <f aca="true" t="shared" si="31" ref="G116:L116">SUM(G117:G121)</f>
        <v>0</v>
      </c>
      <c r="H116" s="23">
        <f t="shared" si="31"/>
        <v>0</v>
      </c>
      <c r="I116" s="22">
        <f t="shared" si="31"/>
        <v>0</v>
      </c>
      <c r="J116" s="22">
        <f t="shared" si="31"/>
        <v>25103390</v>
      </c>
      <c r="K116" s="59">
        <f t="shared" si="31"/>
        <v>8367796.666666666</v>
      </c>
      <c r="L116" s="22">
        <f t="shared" si="31"/>
        <v>33471186.666666664</v>
      </c>
      <c r="M116" s="22">
        <f>+M117+M118+M119+M121</f>
        <v>-33471186.666666664</v>
      </c>
      <c r="N116" s="24" t="e">
        <f t="shared" si="30"/>
        <v>#DIV/0!</v>
      </c>
    </row>
    <row r="117" spans="1:14" s="30" customFormat="1" ht="12.75">
      <c r="A117" s="25" t="s">
        <v>30</v>
      </c>
      <c r="B117" s="27"/>
      <c r="C117" s="27"/>
      <c r="D117" s="27"/>
      <c r="E117" s="27"/>
      <c r="F117" s="27"/>
      <c r="G117" s="28"/>
      <c r="H117" s="29">
        <f>SUM(E117:G117)</f>
        <v>0</v>
      </c>
      <c r="I117" s="27">
        <f>SUM(D117+H117)</f>
        <v>0</v>
      </c>
      <c r="J117" s="29">
        <v>2380764</v>
      </c>
      <c r="K117" s="47">
        <f>+J117/9*3</f>
        <v>793588</v>
      </c>
      <c r="L117" s="29">
        <f>+K117+J117</f>
        <v>3174352</v>
      </c>
      <c r="M117" s="27">
        <f>I117-L117</f>
        <v>-3174352</v>
      </c>
      <c r="N117" s="24" t="e">
        <f t="shared" si="30"/>
        <v>#DIV/0!</v>
      </c>
    </row>
    <row r="118" spans="1:14" s="30" customFormat="1" ht="12.75">
      <c r="A118" s="25" t="s">
        <v>31</v>
      </c>
      <c r="B118" s="27"/>
      <c r="C118" s="27"/>
      <c r="D118" s="27"/>
      <c r="E118" s="27"/>
      <c r="F118" s="27"/>
      <c r="G118" s="28"/>
      <c r="H118" s="29"/>
      <c r="I118" s="27">
        <f>SUM(D118+H118)</f>
        <v>0</v>
      </c>
      <c r="J118" s="29"/>
      <c r="K118" s="47">
        <f>+J118/9*3</f>
        <v>0</v>
      </c>
      <c r="L118" s="29">
        <f>+K118+J118</f>
        <v>0</v>
      </c>
      <c r="M118" s="27">
        <f>I118-L118</f>
        <v>0</v>
      </c>
      <c r="N118" s="24" t="e">
        <f t="shared" si="30"/>
        <v>#DIV/0!</v>
      </c>
    </row>
    <row r="119" spans="1:14" s="30" customFormat="1" ht="12.75">
      <c r="A119" s="25" t="s">
        <v>32</v>
      </c>
      <c r="B119" s="27"/>
      <c r="C119" s="27"/>
      <c r="D119" s="27"/>
      <c r="E119" s="27"/>
      <c r="F119" s="27"/>
      <c r="G119" s="28"/>
      <c r="H119" s="29">
        <f>SUM(E119:G119)</f>
        <v>0</v>
      </c>
      <c r="I119" s="27">
        <f>SUM(D119+H119)</f>
        <v>0</v>
      </c>
      <c r="J119" s="29"/>
      <c r="K119" s="47">
        <f>+J119/9*3</f>
        <v>0</v>
      </c>
      <c r="L119" s="29">
        <f>+K119+J119</f>
        <v>0</v>
      </c>
      <c r="M119" s="27">
        <f>I119-L119</f>
        <v>0</v>
      </c>
      <c r="N119" s="24" t="e">
        <f t="shared" si="30"/>
        <v>#DIV/0!</v>
      </c>
    </row>
    <row r="120" spans="1:14" s="30" customFormat="1" ht="12.75">
      <c r="A120" s="25" t="s">
        <v>33</v>
      </c>
      <c r="B120" s="27"/>
      <c r="C120" s="27">
        <v>0</v>
      </c>
      <c r="D120" s="27">
        <f>SUM(B120:C120)</f>
        <v>0</v>
      </c>
      <c r="E120" s="27"/>
      <c r="F120" s="27"/>
      <c r="G120" s="28"/>
      <c r="H120" s="29">
        <f>SUM(E120:G120)</f>
        <v>0</v>
      </c>
      <c r="I120" s="27">
        <f>SUM(D120+H120)</f>
        <v>0</v>
      </c>
      <c r="J120" s="29"/>
      <c r="K120" s="47">
        <f>+J120/9*3</f>
        <v>0</v>
      </c>
      <c r="L120" s="29">
        <f>+K120+J120</f>
        <v>0</v>
      </c>
      <c r="M120" s="27">
        <f>I120-L120</f>
        <v>0</v>
      </c>
      <c r="N120" s="24" t="e">
        <f t="shared" si="30"/>
        <v>#DIV/0!</v>
      </c>
    </row>
    <row r="121" spans="1:15" s="30" customFormat="1" ht="12.75">
      <c r="A121" s="25" t="s">
        <v>34</v>
      </c>
      <c r="B121" s="27">
        <v>0</v>
      </c>
      <c r="C121" s="27"/>
      <c r="D121" s="27">
        <f>SUM(B121:C121)</f>
        <v>0</v>
      </c>
      <c r="E121" s="27"/>
      <c r="F121" s="27"/>
      <c r="G121" s="28"/>
      <c r="H121" s="29">
        <f>SUM(E121:G121)</f>
        <v>0</v>
      </c>
      <c r="I121" s="27">
        <f>SUM(D121+H121)</f>
        <v>0</v>
      </c>
      <c r="J121" s="29">
        <v>22722626</v>
      </c>
      <c r="K121" s="47">
        <f>+J121/9*3</f>
        <v>7574208.666666666</v>
      </c>
      <c r="L121" s="29">
        <f>+K121+J121</f>
        <v>30296834.666666664</v>
      </c>
      <c r="M121" s="27">
        <f>I121-L121</f>
        <v>-30296834.666666664</v>
      </c>
      <c r="N121" s="24" t="e">
        <f t="shared" si="30"/>
        <v>#DIV/0!</v>
      </c>
      <c r="O121" s="4"/>
    </row>
    <row r="122" spans="1:15" s="1" customFormat="1" ht="12.75">
      <c r="A122" s="17" t="s">
        <v>35</v>
      </c>
      <c r="B122" s="22">
        <f>SUM(B123:B125)</f>
        <v>0</v>
      </c>
      <c r="C122" s="22">
        <f>SUM(C123:C125)</f>
        <v>0</v>
      </c>
      <c r="D122" s="22">
        <f>SUM(D123:D125)</f>
        <v>0</v>
      </c>
      <c r="E122" s="22"/>
      <c r="F122" s="22"/>
      <c r="G122" s="22">
        <f aca="true" t="shared" si="32" ref="G122:M122">SUM(G123:G125)</f>
        <v>0</v>
      </c>
      <c r="H122" s="23">
        <f t="shared" si="32"/>
        <v>0</v>
      </c>
      <c r="I122" s="22">
        <f t="shared" si="32"/>
        <v>0</v>
      </c>
      <c r="J122" s="22">
        <f t="shared" si="32"/>
        <v>0</v>
      </c>
      <c r="K122" s="59">
        <f t="shared" si="32"/>
        <v>0</v>
      </c>
      <c r="L122" s="22">
        <f t="shared" si="32"/>
        <v>0</v>
      </c>
      <c r="M122" s="22">
        <f t="shared" si="32"/>
        <v>0</v>
      </c>
      <c r="N122" s="24" t="e">
        <f t="shared" si="30"/>
        <v>#DIV/0!</v>
      </c>
      <c r="O122" s="31"/>
    </row>
    <row r="123" spans="1:14" s="30" customFormat="1" ht="12.75">
      <c r="A123" s="25" t="s">
        <v>36</v>
      </c>
      <c r="B123" s="27"/>
      <c r="C123" s="27"/>
      <c r="D123" s="27"/>
      <c r="E123" s="27"/>
      <c r="F123" s="27"/>
      <c r="G123" s="28"/>
      <c r="H123" s="29">
        <f>SUM(E123:G123)</f>
        <v>0</v>
      </c>
      <c r="I123" s="27">
        <f>SUM(D123+H123)</f>
        <v>0</v>
      </c>
      <c r="J123" s="29"/>
      <c r="K123" s="47">
        <f>+J123/9*3</f>
        <v>0</v>
      </c>
      <c r="L123" s="29">
        <f>+K123+J123</f>
        <v>0</v>
      </c>
      <c r="M123" s="27">
        <f>I123-L123</f>
        <v>0</v>
      </c>
      <c r="N123" s="24" t="e">
        <f t="shared" si="30"/>
        <v>#DIV/0!</v>
      </c>
    </row>
    <row r="124" spans="1:14" s="30" customFormat="1" ht="12.75">
      <c r="A124" s="25" t="s">
        <v>37</v>
      </c>
      <c r="B124" s="27"/>
      <c r="C124" s="27"/>
      <c r="D124" s="27"/>
      <c r="E124" s="27"/>
      <c r="F124" s="27"/>
      <c r="G124" s="28"/>
      <c r="H124" s="29">
        <f>SUM(E124:G124)</f>
        <v>0</v>
      </c>
      <c r="I124" s="27">
        <f>SUM(D124+H124)</f>
        <v>0</v>
      </c>
      <c r="J124" s="29"/>
      <c r="K124" s="47">
        <f>+J124/9*3</f>
        <v>0</v>
      </c>
      <c r="L124" s="29">
        <f>+K124+J124</f>
        <v>0</v>
      </c>
      <c r="M124" s="27">
        <f>I124-L124</f>
        <v>0</v>
      </c>
      <c r="N124" s="24" t="e">
        <f t="shared" si="30"/>
        <v>#DIV/0!</v>
      </c>
    </row>
    <row r="125" spans="1:14" s="30" customFormat="1" ht="12.75">
      <c r="A125" s="25" t="s">
        <v>38</v>
      </c>
      <c r="B125" s="27"/>
      <c r="C125" s="27"/>
      <c r="D125" s="27"/>
      <c r="E125" s="27"/>
      <c r="F125" s="27"/>
      <c r="G125" s="28"/>
      <c r="H125" s="29">
        <f>SUM(E125:G125)</f>
        <v>0</v>
      </c>
      <c r="I125" s="27">
        <f>SUM(D125+H125)</f>
        <v>0</v>
      </c>
      <c r="J125" s="29"/>
      <c r="K125" s="47">
        <f>+J125/9*3</f>
        <v>0</v>
      </c>
      <c r="L125" s="29">
        <f>+K125+J125</f>
        <v>0</v>
      </c>
      <c r="M125" s="27">
        <f>I125-L125</f>
        <v>0</v>
      </c>
      <c r="N125" s="24" t="e">
        <f t="shared" si="30"/>
        <v>#DIV/0!</v>
      </c>
    </row>
    <row r="126" spans="1:14" ht="12.75">
      <c r="A126" s="17"/>
      <c r="B126" s="18"/>
      <c r="C126" s="18"/>
      <c r="D126" s="27">
        <f>SUM(B126:C126)</f>
        <v>0</v>
      </c>
      <c r="E126" s="18"/>
      <c r="F126" s="20"/>
      <c r="G126" s="19"/>
      <c r="H126" s="20"/>
      <c r="I126" s="27">
        <f>SUM(D126+H126)</f>
        <v>0</v>
      </c>
      <c r="J126" s="20"/>
      <c r="K126" s="47">
        <f>+J126/9*3</f>
        <v>0</v>
      </c>
      <c r="L126" s="29">
        <f>+K126+J126</f>
        <v>0</v>
      </c>
      <c r="M126" s="27">
        <f>I126-L126</f>
        <v>0</v>
      </c>
      <c r="N126" s="21"/>
    </row>
    <row r="127" spans="1:14" s="1" customFormat="1" ht="13.5" thickBot="1">
      <c r="A127" s="32" t="s">
        <v>44</v>
      </c>
      <c r="B127" s="33">
        <f>+B110+B116+B122</f>
        <v>849977000</v>
      </c>
      <c r="C127" s="33">
        <f aca="true" t="shared" si="33" ref="C127:M127">+C110+C116+C122</f>
        <v>0</v>
      </c>
      <c r="D127" s="33">
        <f t="shared" si="33"/>
        <v>0</v>
      </c>
      <c r="E127" s="33">
        <f t="shared" si="33"/>
        <v>0</v>
      </c>
      <c r="F127" s="33">
        <f t="shared" si="33"/>
        <v>0</v>
      </c>
      <c r="G127" s="33">
        <f t="shared" si="33"/>
        <v>0</v>
      </c>
      <c r="H127" s="33">
        <f t="shared" si="33"/>
        <v>0</v>
      </c>
      <c r="I127" s="33">
        <f t="shared" si="33"/>
        <v>0</v>
      </c>
      <c r="J127" s="33">
        <f t="shared" si="33"/>
        <v>801191954</v>
      </c>
      <c r="K127" s="60">
        <f t="shared" si="33"/>
        <v>267063984.66666666</v>
      </c>
      <c r="L127" s="33">
        <f t="shared" si="33"/>
        <v>1068255938.6666666</v>
      </c>
      <c r="M127" s="33">
        <f t="shared" si="33"/>
        <v>-1068255938.6666666</v>
      </c>
      <c r="N127" s="35" t="e">
        <f>SUM(M127/I127)</f>
        <v>#DIV/0!</v>
      </c>
    </row>
    <row r="128" spans="1:14" ht="13.5" thickTop="1">
      <c r="A128" s="17"/>
      <c r="B128" s="18"/>
      <c r="C128" s="18"/>
      <c r="D128" s="18"/>
      <c r="E128" s="18"/>
      <c r="F128" s="20"/>
      <c r="G128" s="19"/>
      <c r="H128" s="20"/>
      <c r="I128" s="18"/>
      <c r="J128" s="20"/>
      <c r="K128" s="58"/>
      <c r="L128" s="20"/>
      <c r="M128" s="18"/>
      <c r="N128" s="21"/>
    </row>
    <row r="129" spans="1:14" ht="12.75">
      <c r="A129" s="17"/>
      <c r="B129" s="18"/>
      <c r="C129" s="18"/>
      <c r="D129" s="18"/>
      <c r="E129" s="18"/>
      <c r="F129" s="20"/>
      <c r="G129" s="19"/>
      <c r="H129" s="20"/>
      <c r="I129" s="18"/>
      <c r="J129" s="20"/>
      <c r="K129" s="58"/>
      <c r="L129" s="20"/>
      <c r="M129" s="18"/>
      <c r="N129" s="21"/>
    </row>
    <row r="130" spans="1:14" s="1" customFormat="1" ht="13.5" thickBot="1">
      <c r="A130" s="32" t="s">
        <v>46</v>
      </c>
      <c r="B130" s="33">
        <f>+B127+B106</f>
        <v>5922038000</v>
      </c>
      <c r="C130" s="33">
        <f aca="true" t="shared" si="34" ref="C130:M130">+C127+C106</f>
        <v>113672000</v>
      </c>
      <c r="D130" s="33">
        <f t="shared" si="34"/>
        <v>5185733000</v>
      </c>
      <c r="E130" s="33">
        <f t="shared" si="34"/>
        <v>0</v>
      </c>
      <c r="F130" s="33">
        <f t="shared" si="34"/>
        <v>0</v>
      </c>
      <c r="G130" s="33">
        <f t="shared" si="34"/>
        <v>0</v>
      </c>
      <c r="H130" s="33">
        <f t="shared" si="34"/>
        <v>0</v>
      </c>
      <c r="I130" s="33">
        <f t="shared" si="34"/>
        <v>5185733000</v>
      </c>
      <c r="J130" s="33">
        <f t="shared" si="34"/>
        <v>4066139847</v>
      </c>
      <c r="K130" s="60">
        <f t="shared" si="34"/>
        <v>1346247615.6666667</v>
      </c>
      <c r="L130" s="33">
        <f t="shared" si="34"/>
        <v>5412387462.666667</v>
      </c>
      <c r="M130" s="33">
        <f t="shared" si="34"/>
        <v>-226654462.66666663</v>
      </c>
      <c r="N130" s="35">
        <f>SUM(M130/I130)</f>
        <v>-0.043707314407947076</v>
      </c>
    </row>
    <row r="131" spans="1:14" ht="13.5" thickTop="1">
      <c r="A131" s="17"/>
      <c r="B131" s="18"/>
      <c r="C131" s="18"/>
      <c r="D131" s="18"/>
      <c r="E131" s="18"/>
      <c r="F131" s="18"/>
      <c r="G131" s="19"/>
      <c r="H131" s="20"/>
      <c r="I131" s="18"/>
      <c r="J131" s="20"/>
      <c r="K131" s="58"/>
      <c r="L131" s="20"/>
      <c r="M131" s="18"/>
      <c r="N131" s="21"/>
    </row>
    <row r="132" spans="1:14" ht="12.75">
      <c r="A132" s="17" t="s">
        <v>47</v>
      </c>
      <c r="B132" s="18"/>
      <c r="C132" s="18"/>
      <c r="D132" s="18"/>
      <c r="E132" s="18"/>
      <c r="F132" s="18"/>
      <c r="G132" s="19"/>
      <c r="H132" s="20"/>
      <c r="I132" s="18"/>
      <c r="J132" s="20"/>
      <c r="K132" s="58"/>
      <c r="L132" s="20"/>
      <c r="M132" s="18"/>
      <c r="N132" s="21"/>
    </row>
    <row r="133" spans="1:14" ht="12.75">
      <c r="A133" s="17"/>
      <c r="B133" s="18"/>
      <c r="C133" s="18"/>
      <c r="D133" s="18"/>
      <c r="E133" s="18"/>
      <c r="F133" s="18"/>
      <c r="G133" s="19"/>
      <c r="H133" s="20"/>
      <c r="I133" s="18"/>
      <c r="J133" s="20"/>
      <c r="K133" s="58"/>
      <c r="L133" s="20"/>
      <c r="M133" s="18"/>
      <c r="N133" s="21"/>
    </row>
    <row r="134" spans="1:14" s="1" customFormat="1" ht="12.75">
      <c r="A134" s="17" t="s">
        <v>23</v>
      </c>
      <c r="B134" s="22">
        <f>SUM(B135:B139)</f>
        <v>3949180000</v>
      </c>
      <c r="C134" s="22">
        <f>SUM(C135:C139)</f>
        <v>68516000</v>
      </c>
      <c r="D134" s="22">
        <f>SUM(D135:D139)</f>
        <v>4017696000</v>
      </c>
      <c r="E134" s="22">
        <f aca="true" t="shared" si="35" ref="E134:K134">SUM(E135:E139)</f>
        <v>-14556184</v>
      </c>
      <c r="F134" s="22">
        <f t="shared" si="35"/>
        <v>0</v>
      </c>
      <c r="G134" s="22">
        <f t="shared" si="35"/>
        <v>0</v>
      </c>
      <c r="H134" s="22">
        <f t="shared" si="35"/>
        <v>-14556184</v>
      </c>
      <c r="I134" s="22">
        <f t="shared" si="35"/>
        <v>4003139816</v>
      </c>
      <c r="J134" s="22">
        <f t="shared" si="35"/>
        <v>2518348438</v>
      </c>
      <c r="K134" s="59">
        <f t="shared" si="35"/>
        <v>839449479.3333334</v>
      </c>
      <c r="L134" s="22">
        <f>SUM(L135:L139)</f>
        <v>3357797917.3333335</v>
      </c>
      <c r="M134" s="22">
        <f>SUM(M135:M139)</f>
        <v>645341898.6666666</v>
      </c>
      <c r="N134" s="48">
        <f aca="true" t="shared" si="36" ref="N134:N149">SUM(M134/I134)</f>
        <v>0.16120893306981776</v>
      </c>
    </row>
    <row r="135" spans="1:14" s="30" customFormat="1" ht="12.75">
      <c r="A135" s="25" t="s">
        <v>24</v>
      </c>
      <c r="B135" s="27">
        <f aca="true" t="shared" si="37" ref="B135:M139">+B8+B28+B48+B68+B88</f>
        <v>2386896000</v>
      </c>
      <c r="C135" s="27">
        <f t="shared" si="37"/>
        <v>17093000</v>
      </c>
      <c r="D135" s="27">
        <f t="shared" si="37"/>
        <v>2403989000</v>
      </c>
      <c r="E135" s="27">
        <f t="shared" si="37"/>
        <v>0</v>
      </c>
      <c r="F135" s="27">
        <f t="shared" si="37"/>
        <v>0</v>
      </c>
      <c r="G135" s="27">
        <f t="shared" si="37"/>
        <v>0</v>
      </c>
      <c r="H135" s="27">
        <f t="shared" si="37"/>
        <v>0</v>
      </c>
      <c r="I135" s="27">
        <f t="shared" si="37"/>
        <v>2403989000</v>
      </c>
      <c r="J135" s="27">
        <f t="shared" si="37"/>
        <v>1677320630</v>
      </c>
      <c r="K135" s="47">
        <f t="shared" si="37"/>
        <v>559106876.6666666</v>
      </c>
      <c r="L135" s="27">
        <f t="shared" si="37"/>
        <v>2236427506.6666665</v>
      </c>
      <c r="M135" s="27">
        <f t="shared" si="37"/>
        <v>167561493.33333328</v>
      </c>
      <c r="N135" s="24">
        <f t="shared" si="36"/>
        <v>0.06970143928833837</v>
      </c>
    </row>
    <row r="136" spans="1:14" s="30" customFormat="1" ht="12.75">
      <c r="A136" s="25" t="s">
        <v>25</v>
      </c>
      <c r="B136" s="27">
        <f t="shared" si="37"/>
        <v>1562284000</v>
      </c>
      <c r="C136" s="27">
        <f t="shared" si="37"/>
        <v>51423000</v>
      </c>
      <c r="D136" s="27">
        <f t="shared" si="37"/>
        <v>1613707000</v>
      </c>
      <c r="E136" s="27">
        <f t="shared" si="37"/>
        <v>-15950029</v>
      </c>
      <c r="F136" s="27">
        <f t="shared" si="37"/>
        <v>0</v>
      </c>
      <c r="G136" s="27">
        <f t="shared" si="37"/>
        <v>0</v>
      </c>
      <c r="H136" s="27">
        <f t="shared" si="37"/>
        <v>-15950029</v>
      </c>
      <c r="I136" s="27">
        <f t="shared" si="37"/>
        <v>1597756971</v>
      </c>
      <c r="J136" s="27">
        <f t="shared" si="37"/>
        <v>839982624</v>
      </c>
      <c r="K136" s="47">
        <f t="shared" si="37"/>
        <v>279994208</v>
      </c>
      <c r="L136" s="27">
        <f t="shared" si="37"/>
        <v>1119976832</v>
      </c>
      <c r="M136" s="27">
        <f t="shared" si="37"/>
        <v>477780139.00000006</v>
      </c>
      <c r="N136" s="24">
        <f t="shared" si="36"/>
        <v>0.2990317974960662</v>
      </c>
    </row>
    <row r="137" spans="1:14" s="30" customFormat="1" ht="12.75">
      <c r="A137" s="25" t="s">
        <v>26</v>
      </c>
      <c r="B137" s="27">
        <f t="shared" si="37"/>
        <v>0</v>
      </c>
      <c r="C137" s="27">
        <f t="shared" si="37"/>
        <v>0</v>
      </c>
      <c r="D137" s="27">
        <f t="shared" si="37"/>
        <v>0</v>
      </c>
      <c r="E137" s="27">
        <f t="shared" si="37"/>
        <v>0</v>
      </c>
      <c r="F137" s="27">
        <f t="shared" si="37"/>
        <v>0</v>
      </c>
      <c r="G137" s="27">
        <f t="shared" si="37"/>
        <v>0</v>
      </c>
      <c r="H137" s="27">
        <f t="shared" si="37"/>
        <v>0</v>
      </c>
      <c r="I137" s="27">
        <f t="shared" si="37"/>
        <v>0</v>
      </c>
      <c r="J137" s="27">
        <f t="shared" si="37"/>
        <v>0</v>
      </c>
      <c r="K137" s="47">
        <f t="shared" si="37"/>
        <v>0</v>
      </c>
      <c r="L137" s="27">
        <f t="shared" si="37"/>
        <v>0</v>
      </c>
      <c r="M137" s="27">
        <f t="shared" si="37"/>
        <v>0</v>
      </c>
      <c r="N137" s="24" t="e">
        <f t="shared" si="36"/>
        <v>#DIV/0!</v>
      </c>
    </row>
    <row r="138" spans="1:14" s="30" customFormat="1" ht="12.75">
      <c r="A138" s="25" t="s">
        <v>27</v>
      </c>
      <c r="B138" s="27">
        <f t="shared" si="37"/>
        <v>0</v>
      </c>
      <c r="C138" s="27">
        <f t="shared" si="37"/>
        <v>0</v>
      </c>
      <c r="D138" s="27">
        <f t="shared" si="37"/>
        <v>0</v>
      </c>
      <c r="E138" s="27">
        <f t="shared" si="37"/>
        <v>1393845</v>
      </c>
      <c r="F138" s="27">
        <f t="shared" si="37"/>
        <v>0</v>
      </c>
      <c r="G138" s="27">
        <f t="shared" si="37"/>
        <v>0</v>
      </c>
      <c r="H138" s="27">
        <f t="shared" si="37"/>
        <v>1393845</v>
      </c>
      <c r="I138" s="27">
        <f t="shared" si="37"/>
        <v>1393845</v>
      </c>
      <c r="J138" s="27">
        <f t="shared" si="37"/>
        <v>1045384</v>
      </c>
      <c r="K138" s="47">
        <f t="shared" si="37"/>
        <v>348461.3333333333</v>
      </c>
      <c r="L138" s="27">
        <f t="shared" si="37"/>
        <v>1393845.3333333333</v>
      </c>
      <c r="M138" s="27">
        <f t="shared" si="37"/>
        <v>-0.3333333333139308</v>
      </c>
      <c r="N138" s="24">
        <f t="shared" si="36"/>
        <v>-2.3914662915455505E-07</v>
      </c>
    </row>
    <row r="139" spans="1:14" s="30" customFormat="1" ht="12.75">
      <c r="A139" s="25" t="s">
        <v>28</v>
      </c>
      <c r="B139" s="27">
        <f t="shared" si="37"/>
        <v>0</v>
      </c>
      <c r="C139" s="27">
        <f t="shared" si="37"/>
        <v>0</v>
      </c>
      <c r="D139" s="27">
        <f t="shared" si="37"/>
        <v>0</v>
      </c>
      <c r="E139" s="27">
        <f t="shared" si="37"/>
        <v>0</v>
      </c>
      <c r="F139" s="27">
        <f t="shared" si="37"/>
        <v>0</v>
      </c>
      <c r="G139" s="27">
        <f t="shared" si="37"/>
        <v>0</v>
      </c>
      <c r="H139" s="27">
        <f t="shared" si="37"/>
        <v>0</v>
      </c>
      <c r="I139" s="27">
        <f t="shared" si="37"/>
        <v>0</v>
      </c>
      <c r="J139" s="27">
        <f t="shared" si="37"/>
        <v>-200</v>
      </c>
      <c r="K139" s="47">
        <f t="shared" si="37"/>
        <v>-66.66666666666666</v>
      </c>
      <c r="L139" s="27">
        <f t="shared" si="37"/>
        <v>-266.66666666666663</v>
      </c>
      <c r="M139" s="27">
        <f t="shared" si="37"/>
        <v>266.66666666666663</v>
      </c>
      <c r="N139" s="24" t="e">
        <f t="shared" si="36"/>
        <v>#DIV/0!</v>
      </c>
    </row>
    <row r="140" spans="1:14" s="1" customFormat="1" ht="12.75">
      <c r="A140" s="17" t="s">
        <v>29</v>
      </c>
      <c r="B140" s="22">
        <f>SUM(B141:B145)</f>
        <v>695622000</v>
      </c>
      <c r="C140" s="22">
        <f>SUM(C141:C145)</f>
        <v>1511000</v>
      </c>
      <c r="D140" s="22">
        <f>SUM(D141:D145)</f>
        <v>697133000</v>
      </c>
      <c r="E140" s="22" t="e">
        <f aca="true" t="shared" si="38" ref="E140:K140">SUM(E141:E145)</f>
        <v>#REF!</v>
      </c>
      <c r="F140" s="22">
        <f t="shared" si="38"/>
        <v>0</v>
      </c>
      <c r="G140" s="22">
        <f t="shared" si="38"/>
        <v>0</v>
      </c>
      <c r="H140" s="22">
        <f t="shared" si="38"/>
        <v>14556184</v>
      </c>
      <c r="I140" s="22">
        <f t="shared" si="38"/>
        <v>711689184</v>
      </c>
      <c r="J140" s="22">
        <f t="shared" si="38"/>
        <v>537875476</v>
      </c>
      <c r="K140" s="59">
        <f t="shared" si="38"/>
        <v>170159491.99999997</v>
      </c>
      <c r="L140" s="22">
        <f>SUM(L141:L145)</f>
        <v>708034967.9999999</v>
      </c>
      <c r="M140" s="22">
        <f>+M141+M142+M143+M145</f>
        <v>3654215.9999999995</v>
      </c>
      <c r="N140" s="24">
        <f t="shared" si="36"/>
        <v>0.0051345672832369465</v>
      </c>
    </row>
    <row r="141" spans="1:14" s="30" customFormat="1" ht="12.75">
      <c r="A141" s="25" t="s">
        <v>30</v>
      </c>
      <c r="B141" s="27">
        <f aca="true" t="shared" si="39" ref="B141:K145">+B14+B34+B54+B74+B94</f>
        <v>7777000</v>
      </c>
      <c r="C141" s="27">
        <f t="shared" si="39"/>
        <v>7000</v>
      </c>
      <c r="D141" s="27">
        <f t="shared" si="39"/>
        <v>7784000</v>
      </c>
      <c r="E141" s="27" t="e">
        <f>+#REF!+E34+E54+E74+E94</f>
        <v>#REF!</v>
      </c>
      <c r="F141" s="27">
        <f aca="true" t="shared" si="40" ref="F141:M145">+F14+F34+F54+F74+F94</f>
        <v>0</v>
      </c>
      <c r="G141" s="27">
        <f t="shared" si="40"/>
        <v>0</v>
      </c>
      <c r="H141" s="27">
        <f t="shared" si="40"/>
        <v>82448</v>
      </c>
      <c r="I141" s="27">
        <f t="shared" si="40"/>
        <v>7866448</v>
      </c>
      <c r="J141" s="27">
        <f t="shared" si="40"/>
        <v>5342456</v>
      </c>
      <c r="K141" s="47">
        <f t="shared" si="40"/>
        <v>1780818.6666666663</v>
      </c>
      <c r="L141" s="27">
        <f t="shared" si="40"/>
        <v>7123274.666666665</v>
      </c>
      <c r="M141" s="27">
        <f t="shared" si="40"/>
        <v>743173.3333333337</v>
      </c>
      <c r="N141" s="24">
        <f t="shared" si="36"/>
        <v>0.0944738124924151</v>
      </c>
    </row>
    <row r="142" spans="1:14" s="30" customFormat="1" ht="12.75">
      <c r="A142" s="25" t="s">
        <v>31</v>
      </c>
      <c r="B142" s="27">
        <f t="shared" si="39"/>
        <v>685407000</v>
      </c>
      <c r="C142" s="27">
        <f t="shared" si="39"/>
        <v>0</v>
      </c>
      <c r="D142" s="27">
        <f t="shared" si="39"/>
        <v>685407000</v>
      </c>
      <c r="E142" s="27">
        <f>+E14+E35+E55+E75+E95</f>
        <v>743006</v>
      </c>
      <c r="F142" s="27">
        <f t="shared" si="40"/>
        <v>0</v>
      </c>
      <c r="G142" s="27">
        <f t="shared" si="40"/>
        <v>0</v>
      </c>
      <c r="H142" s="27">
        <f t="shared" si="40"/>
        <v>259309</v>
      </c>
      <c r="I142" s="27">
        <f t="shared" si="40"/>
        <v>685666309</v>
      </c>
      <c r="J142" s="27">
        <f t="shared" si="40"/>
        <v>518915700</v>
      </c>
      <c r="K142" s="47">
        <f t="shared" si="40"/>
        <v>163839566.66666666</v>
      </c>
      <c r="L142" s="27">
        <f t="shared" si="40"/>
        <v>682755266.6666666</v>
      </c>
      <c r="M142" s="27">
        <f t="shared" si="40"/>
        <v>2911042.3333333335</v>
      </c>
      <c r="N142" s="24">
        <f t="shared" si="36"/>
        <v>0.004245567114970109</v>
      </c>
    </row>
    <row r="143" spans="1:14" s="30" customFormat="1" ht="12.75">
      <c r="A143" s="25" t="s">
        <v>32</v>
      </c>
      <c r="B143" s="27">
        <f t="shared" si="39"/>
        <v>2438000</v>
      </c>
      <c r="C143" s="27">
        <f t="shared" si="39"/>
        <v>1504000</v>
      </c>
      <c r="D143" s="27">
        <f t="shared" si="39"/>
        <v>3942000</v>
      </c>
      <c r="E143" s="27">
        <f t="shared" si="39"/>
        <v>1211480</v>
      </c>
      <c r="F143" s="27">
        <f t="shared" si="39"/>
        <v>0</v>
      </c>
      <c r="G143" s="27">
        <f t="shared" si="39"/>
        <v>0</v>
      </c>
      <c r="H143" s="27">
        <f t="shared" si="39"/>
        <v>1211480</v>
      </c>
      <c r="I143" s="27">
        <f t="shared" si="39"/>
        <v>5153480</v>
      </c>
      <c r="J143" s="27">
        <f t="shared" si="39"/>
        <v>3865110</v>
      </c>
      <c r="K143" s="47">
        <f t="shared" si="39"/>
        <v>1288370</v>
      </c>
      <c r="L143" s="27">
        <f t="shared" si="40"/>
        <v>5153480</v>
      </c>
      <c r="M143" s="27">
        <f t="shared" si="40"/>
        <v>0</v>
      </c>
      <c r="N143" s="24">
        <f t="shared" si="36"/>
        <v>0</v>
      </c>
    </row>
    <row r="144" spans="1:14" s="30" customFormat="1" ht="12.75">
      <c r="A144" s="25" t="s">
        <v>33</v>
      </c>
      <c r="B144" s="27">
        <f t="shared" si="39"/>
        <v>0</v>
      </c>
      <c r="C144" s="27">
        <f t="shared" si="39"/>
        <v>0</v>
      </c>
      <c r="D144" s="27">
        <f t="shared" si="39"/>
        <v>0</v>
      </c>
      <c r="E144" s="27">
        <f t="shared" si="39"/>
        <v>0</v>
      </c>
      <c r="F144" s="27">
        <f t="shared" si="39"/>
        <v>0</v>
      </c>
      <c r="G144" s="27">
        <f t="shared" si="39"/>
        <v>0</v>
      </c>
      <c r="H144" s="27">
        <f t="shared" si="39"/>
        <v>0</v>
      </c>
      <c r="I144" s="27">
        <f t="shared" si="39"/>
        <v>0</v>
      </c>
      <c r="J144" s="27">
        <f t="shared" si="39"/>
        <v>0</v>
      </c>
      <c r="K144" s="47">
        <f t="shared" si="39"/>
        <v>0</v>
      </c>
      <c r="L144" s="27">
        <f t="shared" si="40"/>
        <v>0</v>
      </c>
      <c r="M144" s="27">
        <f t="shared" si="40"/>
        <v>0</v>
      </c>
      <c r="N144" s="24" t="e">
        <f t="shared" si="36"/>
        <v>#DIV/0!</v>
      </c>
    </row>
    <row r="145" spans="1:15" s="30" customFormat="1" ht="12.75">
      <c r="A145" s="25" t="s">
        <v>34</v>
      </c>
      <c r="B145" s="27">
        <f t="shared" si="39"/>
        <v>0</v>
      </c>
      <c r="C145" s="27">
        <f t="shared" si="39"/>
        <v>0</v>
      </c>
      <c r="D145" s="27">
        <f t="shared" si="39"/>
        <v>0</v>
      </c>
      <c r="E145" s="27">
        <f t="shared" si="39"/>
        <v>13002947</v>
      </c>
      <c r="F145" s="27">
        <f t="shared" si="39"/>
        <v>0</v>
      </c>
      <c r="G145" s="27">
        <f t="shared" si="39"/>
        <v>0</v>
      </c>
      <c r="H145" s="27">
        <f t="shared" si="39"/>
        <v>13002947</v>
      </c>
      <c r="I145" s="27">
        <f t="shared" si="39"/>
        <v>13002947</v>
      </c>
      <c r="J145" s="27">
        <f t="shared" si="39"/>
        <v>9752210</v>
      </c>
      <c r="K145" s="47">
        <f t="shared" si="39"/>
        <v>3250736.666666667</v>
      </c>
      <c r="L145" s="27">
        <f t="shared" si="40"/>
        <v>13002946.666666668</v>
      </c>
      <c r="M145" s="27">
        <f t="shared" si="40"/>
        <v>0.3333333323826082</v>
      </c>
      <c r="N145" s="24">
        <f t="shared" si="36"/>
        <v>2.5635214262013697E-08</v>
      </c>
      <c r="O145" s="4"/>
    </row>
    <row r="146" spans="1:15" s="1" customFormat="1" ht="12.75">
      <c r="A146" s="17" t="s">
        <v>35</v>
      </c>
      <c r="B146" s="22">
        <f>SUM(B147:B149)</f>
        <v>427259000</v>
      </c>
      <c r="C146" s="22">
        <f>SUM(C147:C149)</f>
        <v>43645000</v>
      </c>
      <c r="D146" s="22">
        <f>SUM(D147:D149)</f>
        <v>470904000</v>
      </c>
      <c r="E146" s="22">
        <f aca="true" t="shared" si="41" ref="E146:K146">SUM(E147:E149)</f>
        <v>0</v>
      </c>
      <c r="F146" s="22">
        <f t="shared" si="41"/>
        <v>0</v>
      </c>
      <c r="G146" s="22">
        <f t="shared" si="41"/>
        <v>0</v>
      </c>
      <c r="H146" s="22">
        <f t="shared" si="41"/>
        <v>0</v>
      </c>
      <c r="I146" s="22">
        <f t="shared" si="41"/>
        <v>470904000</v>
      </c>
      <c r="J146" s="22">
        <f t="shared" si="41"/>
        <v>208723979</v>
      </c>
      <c r="K146" s="59">
        <f t="shared" si="41"/>
        <v>69574659.66666666</v>
      </c>
      <c r="L146" s="22">
        <f>SUM(L147:L149)</f>
        <v>278298638.6666666</v>
      </c>
      <c r="M146" s="22">
        <f>SUM(M147:M149)</f>
        <v>192605361.33333337</v>
      </c>
      <c r="N146" s="48">
        <f t="shared" si="36"/>
        <v>0.40901194581768974</v>
      </c>
      <c r="O146" s="31"/>
    </row>
    <row r="147" spans="1:14" s="30" customFormat="1" ht="12.75">
      <c r="A147" s="25" t="s">
        <v>36</v>
      </c>
      <c r="B147" s="27">
        <f aca="true" t="shared" si="42" ref="B147:M149">+B20+B40+B60+B80+B100</f>
        <v>258134000</v>
      </c>
      <c r="C147" s="27">
        <f t="shared" si="42"/>
        <v>59841000</v>
      </c>
      <c r="D147" s="27">
        <f t="shared" si="42"/>
        <v>317975000</v>
      </c>
      <c r="E147" s="27">
        <f t="shared" si="42"/>
        <v>7364</v>
      </c>
      <c r="F147" s="27">
        <f t="shared" si="42"/>
        <v>1441985</v>
      </c>
      <c r="G147" s="27">
        <f t="shared" si="42"/>
        <v>0</v>
      </c>
      <c r="H147" s="27">
        <f t="shared" si="42"/>
        <v>1449349</v>
      </c>
      <c r="I147" s="27">
        <f t="shared" si="42"/>
        <v>319424349</v>
      </c>
      <c r="J147" s="27">
        <f t="shared" si="42"/>
        <v>170708414</v>
      </c>
      <c r="K147" s="47">
        <f t="shared" si="42"/>
        <v>56902804.666666664</v>
      </c>
      <c r="L147" s="27">
        <f t="shared" si="42"/>
        <v>227611218.66666666</v>
      </c>
      <c r="M147" s="27">
        <f t="shared" si="42"/>
        <v>91813130.33333336</v>
      </c>
      <c r="N147" s="24">
        <f t="shared" si="36"/>
        <v>0.2874330983870405</v>
      </c>
    </row>
    <row r="148" spans="1:14" s="30" customFormat="1" ht="12.75">
      <c r="A148" s="25" t="s">
        <v>37</v>
      </c>
      <c r="B148" s="27">
        <f t="shared" si="42"/>
        <v>167341000</v>
      </c>
      <c r="C148" s="27">
        <f t="shared" si="42"/>
        <v>-16206000</v>
      </c>
      <c r="D148" s="27">
        <f t="shared" si="42"/>
        <v>151135000</v>
      </c>
      <c r="E148" s="27">
        <f t="shared" si="42"/>
        <v>-37676</v>
      </c>
      <c r="F148" s="27">
        <f t="shared" si="42"/>
        <v>-46170</v>
      </c>
      <c r="G148" s="27">
        <f t="shared" si="42"/>
        <v>0</v>
      </c>
      <c r="H148" s="27">
        <f t="shared" si="42"/>
        <v>-83846</v>
      </c>
      <c r="I148" s="27">
        <f t="shared" si="42"/>
        <v>151051154</v>
      </c>
      <c r="J148" s="27">
        <f t="shared" si="42"/>
        <v>37725453</v>
      </c>
      <c r="K148" s="47">
        <f t="shared" si="42"/>
        <v>12575151</v>
      </c>
      <c r="L148" s="27">
        <f t="shared" si="42"/>
        <v>50300604</v>
      </c>
      <c r="M148" s="27">
        <f t="shared" si="42"/>
        <v>100750550</v>
      </c>
      <c r="N148" s="24">
        <f t="shared" si="36"/>
        <v>0.6669962283108409</v>
      </c>
    </row>
    <row r="149" spans="1:14" s="30" customFormat="1" ht="12.75">
      <c r="A149" s="25" t="s">
        <v>38</v>
      </c>
      <c r="B149" s="27">
        <f t="shared" si="42"/>
        <v>1784000</v>
      </c>
      <c r="C149" s="27">
        <f t="shared" si="42"/>
        <v>10000</v>
      </c>
      <c r="D149" s="27">
        <f t="shared" si="42"/>
        <v>1794000</v>
      </c>
      <c r="E149" s="27">
        <f t="shared" si="42"/>
        <v>30312</v>
      </c>
      <c r="F149" s="27">
        <f t="shared" si="42"/>
        <v>-1395815</v>
      </c>
      <c r="G149" s="27">
        <f t="shared" si="42"/>
        <v>0</v>
      </c>
      <c r="H149" s="27">
        <f t="shared" si="42"/>
        <v>-1365503</v>
      </c>
      <c r="I149" s="27">
        <f t="shared" si="42"/>
        <v>428497</v>
      </c>
      <c r="J149" s="27">
        <f t="shared" si="42"/>
        <v>290112</v>
      </c>
      <c r="K149" s="47">
        <f t="shared" si="42"/>
        <v>96704</v>
      </c>
      <c r="L149" s="27">
        <f t="shared" si="42"/>
        <v>386816</v>
      </c>
      <c r="M149" s="27">
        <f t="shared" si="42"/>
        <v>41681</v>
      </c>
      <c r="N149" s="24">
        <f t="shared" si="36"/>
        <v>0.09727255966786232</v>
      </c>
    </row>
    <row r="150" spans="1:14" s="1" customFormat="1" ht="13.5" thickBot="1">
      <c r="A150" s="32" t="s">
        <v>0</v>
      </c>
      <c r="B150" s="33">
        <f>+B146+B140+B134</f>
        <v>5072061000</v>
      </c>
      <c r="C150" s="33">
        <f>+C146+C140+C134</f>
        <v>113672000</v>
      </c>
      <c r="D150" s="33">
        <f>+D146+D140+D134</f>
        <v>5185733000</v>
      </c>
      <c r="E150" s="33" t="e">
        <f aca="true" t="shared" si="43" ref="E150:K150">+E146+E140+E134</f>
        <v>#REF!</v>
      </c>
      <c r="F150" s="33">
        <f t="shared" si="43"/>
        <v>0</v>
      </c>
      <c r="G150" s="33">
        <f t="shared" si="43"/>
        <v>0</v>
      </c>
      <c r="H150" s="33">
        <f t="shared" si="43"/>
        <v>0</v>
      </c>
      <c r="I150" s="33">
        <f t="shared" si="43"/>
        <v>5185733000</v>
      </c>
      <c r="J150" s="33">
        <f t="shared" si="43"/>
        <v>3264947893</v>
      </c>
      <c r="K150" s="60">
        <f t="shared" si="43"/>
        <v>1079183631</v>
      </c>
      <c r="L150" s="33">
        <f>+L146+L140+L134</f>
        <v>4344131524</v>
      </c>
      <c r="M150" s="33">
        <f>+M146+M140+M134</f>
        <v>841601476</v>
      </c>
      <c r="N150" s="35">
        <f>SUM(M150/I150)</f>
        <v>0.1622917099665563</v>
      </c>
    </row>
    <row r="151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Mackenzie</dc:creator>
  <cp:keywords/>
  <dc:description/>
  <cp:lastModifiedBy>Peter</cp:lastModifiedBy>
  <cp:lastPrinted>2006-04-28T12:47:49Z</cp:lastPrinted>
  <dcterms:created xsi:type="dcterms:W3CDTF">2006-04-25T11:58:34Z</dcterms:created>
  <dcterms:modified xsi:type="dcterms:W3CDTF">2006-05-08T07:20:01Z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