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36" firstSheet="7" activeTab="10"/>
  </bookViews>
  <sheets>
    <sheet name="Res Care Costing Model" sheetId="1" r:id="rId1"/>
    <sheet name="Res Care Prog Costing" sheetId="2" r:id="rId2"/>
    <sheet name="Comm Care Costing Model" sheetId="3" r:id="rId3"/>
    <sheet name="Comm Care Prog Costing" sheetId="4" r:id="rId4"/>
    <sheet name="Home Based Costing Model" sheetId="5" r:id="rId5"/>
    <sheet name="Home Based Prog Costing" sheetId="6" r:id="rId6"/>
    <sheet name="Pov Relief Costing Model" sheetId="7" r:id="rId7"/>
    <sheet name="Pov Relief Prog Costs" sheetId="8" r:id="rId8"/>
    <sheet name="Capital Prog Costs" sheetId="9" r:id="rId9"/>
    <sheet name="Admin Prog Costs" sheetId="10" r:id="rId10"/>
    <sheet name="VOP Distrib for Res Care" sheetId="11" r:id="rId11"/>
  </sheets>
  <externalReferences>
    <externalReference r:id="rId14"/>
  </externalReferences>
  <definedNames>
    <definedName name="_xlnm.Print_Area" localSheetId="9">'Admin Prog Costs'!$A$1:$D$44</definedName>
    <definedName name="_xlnm.Print_Area" localSheetId="2">'Comm Care Costing Model'!$A$3:$J$43</definedName>
    <definedName name="_xlnm.Print_Area" localSheetId="3">'Comm Care Prog Costing'!$A$1:$I$68</definedName>
    <definedName name="_xlnm.Print_Area" localSheetId="4">'Home Based Costing Model'!$A$1:$J$29</definedName>
    <definedName name="_xlnm.Print_Area" localSheetId="5">'Home Based Prog Costing'!$A$1:$S$51</definedName>
    <definedName name="_xlnm.Print_Area" localSheetId="6">'Pov Relief Costing Model'!$A$1:$D$25</definedName>
    <definedName name="_xlnm.Print_Area" localSheetId="7">'Pov Relief Prog Costs'!$A$1:$K$23</definedName>
    <definedName name="_xlnm.Print_Area" localSheetId="0">'Res Care Costing Model'!$A$1:$J$57</definedName>
    <definedName name="_xlnm.Print_Area" localSheetId="1">'Res Care Prog Costing'!$A$1:$R$71</definedName>
    <definedName name="_xlnm.Print_Area" localSheetId="10">'VOP Distrib for Res Care'!$A$1:$J$45</definedName>
  </definedNames>
  <calcPr fullCalcOnLoad="1"/>
</workbook>
</file>

<file path=xl/sharedStrings.xml><?xml version="1.0" encoding="utf-8"?>
<sst xmlns="http://schemas.openxmlformats.org/spreadsheetml/2006/main" count="770" uniqueCount="204">
  <si>
    <t>Primary Care</t>
  </si>
  <si>
    <t xml:space="preserve"> </t>
  </si>
  <si>
    <t>Cost Drivers</t>
  </si>
  <si>
    <t>Per Unit Cost</t>
  </si>
  <si>
    <t>No. of Units</t>
  </si>
  <si>
    <t>Total Cost</t>
  </si>
  <si>
    <t>Programme 1 - RESIDENTIAL CARE</t>
  </si>
  <si>
    <t>Programme 3 - HOME-BASED CARE</t>
  </si>
  <si>
    <t>rent</t>
  </si>
  <si>
    <t xml:space="preserve">rates taxes </t>
  </si>
  <si>
    <t>water and light</t>
  </si>
  <si>
    <t>Social Worker</t>
  </si>
  <si>
    <t>Supervisor</t>
  </si>
  <si>
    <t>Prof. Nurse</t>
  </si>
  <si>
    <t>Assistant nurses</t>
  </si>
  <si>
    <t>Caregivers</t>
  </si>
  <si>
    <t>Driver</t>
  </si>
  <si>
    <t>Cooks</t>
  </si>
  <si>
    <t>Assistant cooks</t>
  </si>
  <si>
    <t>Cleaners</t>
  </si>
  <si>
    <t>Telephone, fax stationery</t>
  </si>
  <si>
    <t>first aid kits</t>
  </si>
  <si>
    <t>Cost of meals(R15P/P/D31 DAYS)</t>
  </si>
  <si>
    <t>Security</t>
  </si>
  <si>
    <t>Transport</t>
  </si>
  <si>
    <t xml:space="preserve">Insurance </t>
  </si>
  <si>
    <t>Equipment</t>
  </si>
  <si>
    <t>Cleaning materials</t>
  </si>
  <si>
    <t>Principle care giver</t>
  </si>
  <si>
    <t>Kitchen supervisor</t>
  </si>
  <si>
    <t>Staff Training</t>
  </si>
  <si>
    <t>Programme Manager</t>
  </si>
  <si>
    <t>Cook</t>
  </si>
  <si>
    <t>General Assistant.</t>
  </si>
  <si>
    <t>Meals(R7. pp/pd 20daypm 150p</t>
  </si>
  <si>
    <t>Campaign Materials</t>
  </si>
  <si>
    <t>Rent</t>
  </si>
  <si>
    <t>audit fees</t>
  </si>
  <si>
    <t>telephone fax</t>
  </si>
  <si>
    <t xml:space="preserve">home visits and other </t>
  </si>
  <si>
    <t>Staff Training costs</t>
  </si>
  <si>
    <t>Discretionary allocation.</t>
  </si>
  <si>
    <t>bookkeeping /admin</t>
  </si>
  <si>
    <t>Volunteer Caregivers</t>
  </si>
  <si>
    <t>Stationary and Telephone</t>
  </si>
  <si>
    <t>Rent on office</t>
  </si>
  <si>
    <t>Cleaning</t>
  </si>
  <si>
    <t>Administrator</t>
  </si>
  <si>
    <t>Health Care</t>
  </si>
  <si>
    <t>Personal care</t>
  </si>
  <si>
    <t>Social Auxiarly Worker</t>
  </si>
  <si>
    <t>Podiatry</t>
  </si>
  <si>
    <t>Trips and Excursions</t>
  </si>
  <si>
    <t>Socialization Programs</t>
  </si>
  <si>
    <t>Income Generating Projects</t>
  </si>
  <si>
    <t>Basic Care</t>
  </si>
  <si>
    <t>Per month per 100 persons (see unit cost per person below) - (note - coverage is based on 2%)</t>
  </si>
  <si>
    <t>Factotum Handyman</t>
  </si>
  <si>
    <t>Transport (ex: petrol / etc)</t>
  </si>
  <si>
    <t>Insect and Rodent Control</t>
  </si>
  <si>
    <t>Dental care</t>
  </si>
  <si>
    <t>OT / Physio</t>
  </si>
  <si>
    <t>Podiatry Services</t>
  </si>
  <si>
    <t xml:space="preserve">Excursions </t>
  </si>
  <si>
    <t>Grooming care</t>
  </si>
  <si>
    <t>Total</t>
  </si>
  <si>
    <t>Unit cost</t>
  </si>
  <si>
    <t>Less: Old age pension</t>
  </si>
  <si>
    <t>Well being program (gym, etc.)</t>
  </si>
  <si>
    <t>Cultural and Education Information program</t>
  </si>
  <si>
    <t>Tertiary Care</t>
  </si>
  <si>
    <t>Management and administration</t>
  </si>
  <si>
    <t>Salaries; Management</t>
  </si>
  <si>
    <t>Administrator/Financial Manager</t>
  </si>
  <si>
    <t>Secretary/Receptionist</t>
  </si>
  <si>
    <t>Laundry ASSISTANTS</t>
  </si>
  <si>
    <t>Fund-raiser</t>
  </si>
  <si>
    <t>Disposable nappies (R2.50p/4p/d31days)</t>
  </si>
  <si>
    <t>Maintenance and repair costs</t>
  </si>
  <si>
    <t>water, electricity, sanitation</t>
  </si>
  <si>
    <t>insurance, security,</t>
  </si>
  <si>
    <t>stationary and consumables</t>
  </si>
  <si>
    <t>Meals 1pd x 5 pw pp,</t>
  </si>
  <si>
    <t>Transport (30 per caregiver pd x 20d pm)</t>
  </si>
  <si>
    <t>Health visitor - nurse</t>
  </si>
  <si>
    <t>Home cleaning</t>
  </si>
  <si>
    <t xml:space="preserve">Laundry </t>
  </si>
  <si>
    <t>Shopping</t>
  </si>
  <si>
    <t>Director</t>
  </si>
  <si>
    <t>Secretary</t>
  </si>
  <si>
    <t>Admin Clerk</t>
  </si>
  <si>
    <t>Register of Older Persons Abuse</t>
  </si>
  <si>
    <t>Subsidy to NGO</t>
  </si>
  <si>
    <t>Gauteng</t>
  </si>
  <si>
    <t>Western Cape</t>
  </si>
  <si>
    <t>Eastern Cape</t>
  </si>
  <si>
    <t>North West</t>
  </si>
  <si>
    <t>Northern Cape</t>
  </si>
  <si>
    <t>Limpopo</t>
  </si>
  <si>
    <t>Kwazulu Natal</t>
  </si>
  <si>
    <t>Mpumalanga</t>
  </si>
  <si>
    <t>Free State</t>
  </si>
  <si>
    <t>National</t>
  </si>
  <si>
    <t>Deputy Director (DD)</t>
  </si>
  <si>
    <t>Assistant Director (AD)</t>
  </si>
  <si>
    <t>Chief Social Worker (CSW)</t>
  </si>
  <si>
    <t>Social Worker (SW)</t>
  </si>
  <si>
    <t>Senior Admin Clerk</t>
  </si>
  <si>
    <t>30% cost on total for admin</t>
  </si>
  <si>
    <t>Training for Staff</t>
  </si>
  <si>
    <t>Grand Total</t>
  </si>
  <si>
    <t>Social Worker (SW) - district office</t>
  </si>
  <si>
    <t>Provincial - per province</t>
  </si>
  <si>
    <t>Grand Total per Province</t>
  </si>
  <si>
    <t>Project manager</t>
  </si>
  <si>
    <t>Cost of Equipment</t>
  </si>
  <si>
    <t>Admin costs</t>
  </si>
  <si>
    <t>Programme 5 - POVERTY RELIEF AND EMPOWERMENT PROGRAM</t>
  </si>
  <si>
    <t>Transport - buy equip etc..</t>
  </si>
  <si>
    <t>Marketing</t>
  </si>
  <si>
    <t>Cost of Materials</t>
  </si>
  <si>
    <t>Training (pp)</t>
  </si>
  <si>
    <t>Meals (R7 pp/pd/20 day pm)</t>
  </si>
  <si>
    <t>Water and Lights</t>
  </si>
  <si>
    <t xml:space="preserve">Promotion material </t>
  </si>
  <si>
    <t>Per unit cost (per person per month)</t>
  </si>
  <si>
    <t>Programme 8 - DEPARTMENTAL ADMINISTRATION</t>
  </si>
  <si>
    <t>For frail people living at home - per 100 people per month - based on 0.5% of population</t>
  </si>
  <si>
    <t>Distribution of Individuals by Province - Aged 60+</t>
  </si>
  <si>
    <t>1996 Actual</t>
  </si>
  <si>
    <t>2001Actual</t>
  </si>
  <si>
    <t>Growth</t>
  </si>
  <si>
    <t>2005 guestimate</t>
  </si>
  <si>
    <t>2006 guestimate</t>
  </si>
  <si>
    <t>2007 guestimate</t>
  </si>
  <si>
    <t>2008 guestimate</t>
  </si>
  <si>
    <t>2009 guestimate</t>
  </si>
  <si>
    <t>Province</t>
  </si>
  <si>
    <t>South Africa</t>
  </si>
  <si>
    <t>Based on 2% of 0lder persons (60+) population</t>
  </si>
  <si>
    <t>Residential Care Costing - BASIC CARE MODEL</t>
  </si>
  <si>
    <t>Residential Care Costing - PRIMARY CARE MODEL</t>
  </si>
  <si>
    <t>Residential Care Costing - TERTIARY CARE MODEL</t>
  </si>
  <si>
    <t>2010 guestimate</t>
  </si>
  <si>
    <t>30% program costs</t>
  </si>
  <si>
    <t>2001 Actual</t>
  </si>
  <si>
    <t>Community Care Service Center Costing - BASIC CARE MODEL</t>
  </si>
  <si>
    <t>Based on 20% of 0lder persons (60+) population</t>
  </si>
  <si>
    <t>Community Care Service Center Costing - PRIMARY CARE MODEL</t>
  </si>
  <si>
    <t>Community Care Service Center Costing - TERTIARY CARE MODEL</t>
  </si>
  <si>
    <t>Models are based on the following percentage of relevant population:</t>
  </si>
  <si>
    <t>Home Based Care Costing - BASIC CARE MODEL</t>
  </si>
  <si>
    <t>Home Based Care Costing - PRIMARY / TERTIARY CARE MODEL</t>
  </si>
  <si>
    <t>* Distribution model uses actual growth in population between 1996 and 2001 as basis for extrapolated growth between 2001 and 2005 and yearly thereafter</t>
  </si>
  <si>
    <t>Distribution of Individuals by Province - Aged 60+*</t>
  </si>
  <si>
    <t>Distribution of Individuals by Province - Aged 60+ Vulnerable people</t>
  </si>
  <si>
    <t>Based on 2% of 0lder persons (60+) population - Vulnerable</t>
  </si>
  <si>
    <t>Based on 20% of 0lder persons (60+) population - Vulnerable</t>
  </si>
  <si>
    <t>Program Supervisor</t>
  </si>
  <si>
    <t>Social Auxiliary workers</t>
  </si>
  <si>
    <t>Discretionary costs</t>
  </si>
  <si>
    <t>Volunteer &amp; family training</t>
  </si>
  <si>
    <t>Socialization Activity</t>
  </si>
  <si>
    <t xml:space="preserve">Poverty Relief and Empowerment </t>
  </si>
  <si>
    <t>Promotional Material</t>
  </si>
  <si>
    <t>Energy for food preparation</t>
  </si>
  <si>
    <t>Programme 2 - COMMUNITY CARE SERVICE &amp; OUTREACH</t>
  </si>
  <si>
    <t>Social Service Professional</t>
  </si>
  <si>
    <t>Cost of materials &amp; essentials</t>
  </si>
  <si>
    <t>Total (per 150 people)</t>
  </si>
  <si>
    <t>20 people only - per month numbers - (at least 500 people per province)</t>
  </si>
  <si>
    <t>Based on 3% of 0lder persons (60+) population - Vulnerable</t>
  </si>
  <si>
    <t>Based on 3% of 0lder persons (60+) population</t>
  </si>
  <si>
    <t>Per month per 150 persons (see unit cost per person below) - (note - coverage is based on 20%)</t>
  </si>
  <si>
    <t>Per person - unit cost for program @ 75%</t>
  </si>
  <si>
    <t>Per person - unit cost for program @ 100%</t>
  </si>
  <si>
    <t>Intermediary Care</t>
  </si>
  <si>
    <t>Based on projected targets per province as set by DSD (see below for targets)</t>
  </si>
  <si>
    <t>Total Costs</t>
  </si>
  <si>
    <t>Unit cost per person per month @ 5% increase per annum</t>
  </si>
  <si>
    <t>No. People</t>
  </si>
  <si>
    <t>2006/07</t>
  </si>
  <si>
    <t>2007/08</t>
  </si>
  <si>
    <t>2008/09</t>
  </si>
  <si>
    <t>2009/10</t>
  </si>
  <si>
    <t>2005/06</t>
  </si>
  <si>
    <t>Capital Expenses</t>
  </si>
  <si>
    <t>Unit cost per service centre @ 5% annual inflation rate</t>
  </si>
  <si>
    <t>0</t>
  </si>
  <si>
    <t xml:space="preserve">Poverty Rationale </t>
  </si>
  <si>
    <t xml:space="preserve">The Eastern Cape, Limpopo, KwaZulu Natal and the Free State have by far the highest poverty rate. 72% of poor people in South Africa live in rural areas; and 70% of all rural people are poor.  Within both urban and rural areas the situation is highly stratified, either spatially (with pockets of extreme poverty) or by target group (for example, women and children, older persons and people with disability). Rural communities are highly dispersed, presenting difficulties in accessing appropriate levels of support and / or services. This is compounded by the fact that rural families are unable to feed themselves on a daily basis, heavily impacting on older persons who are frequently left to care for grandchildren by their adult children who migrate to urban areas for work. </t>
  </si>
  <si>
    <t>2005/06 guestimate</t>
  </si>
  <si>
    <t>2006/07 guestimate</t>
  </si>
  <si>
    <t>2007/08 guestimate</t>
  </si>
  <si>
    <t>2008/09 guestimate</t>
  </si>
  <si>
    <t>2009/10 guestimate</t>
  </si>
  <si>
    <t>MTEF Cycle</t>
  </si>
  <si>
    <t>2008/9</t>
  </si>
  <si>
    <t>* Distribution model uses actual growth in population between 1996 and 2001 as basis for extrapolated growth between 2001 and 2005 and yearly thereafter.</t>
  </si>
  <si>
    <t>2005/06 guestimate (8%)</t>
  </si>
  <si>
    <t>* Distribution model uses actual growth in population between 1996 and 2001 as basis for extrapolated growth between 2001 and 2005 and yearly thereafter @ 1% / annum.</t>
  </si>
  <si>
    <t>The projections below are not adjusted for inflation.</t>
  </si>
  <si>
    <t>Serv. Centres</t>
  </si>
  <si>
    <r>
      <t xml:space="preserve">                                         </t>
    </r>
    <r>
      <rPr>
        <b/>
        <u val="single"/>
        <sz val="9"/>
        <rFont val="Arial"/>
        <family val="2"/>
      </rPr>
      <t xml:space="preserve"> Distribution of Individuals by Province - Aged 60+ needing assistance (use 2% as norm)</t>
    </r>
    <r>
      <rPr>
        <b/>
        <sz val="9"/>
        <rFont val="Arial"/>
        <family val="2"/>
      </rPr>
      <t xml:space="preserve">             VOP</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</si>
</sst>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 #,##0_-;\-* #,##0_-;_-* &quot;-&quot;_-;_-@_-"/>
    <numFmt numFmtId="178" formatCode="_-&quot;R&quot;\ * #,##0.00_-;\-&quot;R&quot;\ * #,##0.00_-;_-&quot;R&quot;\ * &quot;-&quot;??_-;_-@_-"/>
    <numFmt numFmtId="179" formatCode="_-* #,##0.00_-;\-* #,##0.00_-;_-* &quot;-&quot;??_-;_-@_-"/>
    <numFmt numFmtId="180" formatCode="[$R-1C09]\ #,##0.00;[Red][$R-1C09]\ #,##0.00"/>
    <numFmt numFmtId="181" formatCode="0.00;[Red]0.00"/>
    <numFmt numFmtId="182" formatCode="[$R-1C09]\ #,##0.0;[Red][$R-1C09]\ #,##0.0"/>
    <numFmt numFmtId="183" formatCode="[$R-1C09]\ #,##0;[Red][$R-1C09]\ #,##0"/>
    <numFmt numFmtId="184" formatCode="#,##0;[Red]#,##0"/>
    <numFmt numFmtId="185" formatCode="#,##0.0;[Red]#,##0.0"/>
    <numFmt numFmtId="186" formatCode="#,##0.00;[Red]#,##0.00"/>
    <numFmt numFmtId="187" formatCode="0.000;[Red]0.000"/>
    <numFmt numFmtId="188" formatCode="0.0;[Red]0.0"/>
    <numFmt numFmtId="189" formatCode="0;[Red]0"/>
    <numFmt numFmtId="190" formatCode="_ * #,##0_ ;_ * \-#,##0_ ;_ * &quot;-&quot;??_ ;_ @_ "/>
    <numFmt numFmtId="191" formatCode="_ * #,##0.0000_ ;_ * \-#,##0.0000_ ;_ * &quot;-&quot;??_ ;_ @_ "/>
    <numFmt numFmtId="192" formatCode="&quot;R&quot;\ #,##0"/>
    <numFmt numFmtId="193" formatCode="&quot;R&quot;\ #,##0.00"/>
    <numFmt numFmtId="194" formatCode="_-* #,##0_-;\-* #,##0_-;_-* &quot;-&quot;??_-;_-@_-"/>
    <numFmt numFmtId="195" formatCode="0.0%"/>
    <numFmt numFmtId="196" formatCode="_ * #,##0.0_ ;_ * \-#,##0.0_ ;_ * &quot;-&quot;??_ ;_ @_ "/>
    <numFmt numFmtId="197" formatCode="_ * #,##0.000_ ;_ * \-#,##0.000_ ;_ * &quot;-&quot;??_ ;_ @_ "/>
    <numFmt numFmtId="198" formatCode="_ * #,##0.00000_ ;_ * \-#,##0.00000_ ;_ * &quot;-&quot;??_ ;_ @_ "/>
    <numFmt numFmtId="199" formatCode="_ * #,##0.000000_ ;_ * \-#,##0.000000_ ;_ * &quot;-&quot;??_ ;_ @_ "/>
    <numFmt numFmtId="200" formatCode="_ * #,##0.0000000_ ;_ * \-#,##0.0000000_ ;_ * &quot;-&quot;??_ ;_ @_ "/>
    <numFmt numFmtId="201" formatCode="_ * #,##0.00000000_ ;_ * \-#,##0.00000000_ ;_ * &quot;-&quot;??_ ;_ @_ "/>
    <numFmt numFmtId="202" formatCode="_ * #,##0.000000000_ ;_ * \-#,##0.000000000_ ;_ * &quot;-&quot;??_ ;_ @_ "/>
    <numFmt numFmtId="203" formatCode="_ * #,##0.0000000000_ ;_ * \-#,##0.0000000000_ ;_ * &quot;-&quot;??_ ;_ @_ "/>
    <numFmt numFmtId="204" formatCode="_ * #,##0.00000000000_ ;_ * \-#,##0.00000000000_ ;_ * &quot;-&quot;??_ ;_ @_ "/>
    <numFmt numFmtId="205" formatCode="_(* #,##0.0_);_(* \(#,##0.0\);_(* &quot;-&quot;??_);_(@_)"/>
    <numFmt numFmtId="206" formatCode="_(* #,##0_);_(* \(#,##0\);_(* &quot;-&quot;??_);_(@_)"/>
    <numFmt numFmtId="207" formatCode="#,##0.0"/>
    <numFmt numFmtId="208" formatCode="[$R-1C09]\ #,##0.000;[Red][$R-1C09]\ #,##0.000"/>
    <numFmt numFmtId="209" formatCode="_(* #,##0.000_);_(* \(#,##0.000\);_(* &quot;-&quot;??_);_(@_)"/>
    <numFmt numFmtId="210" formatCode="_(* #,##0.0000_);_(* \(#,##0.0000\);_(* &quot;-&quot;??_);_(@_)"/>
    <numFmt numFmtId="211" formatCode="0.000000%"/>
    <numFmt numFmtId="212" formatCode="[$R-1C09]\ #,##0"/>
    <numFmt numFmtId="213" formatCode="[$R-1C09]\ #,##0.00"/>
    <numFmt numFmtId="214" formatCode="&quot;Yes&quot;;&quot;Yes&quot;;&quot;No&quot;"/>
    <numFmt numFmtId="215" formatCode="&quot;True&quot;;&quot;True&quot;;&quot;False&quot;"/>
    <numFmt numFmtId="216" formatCode="&quot;On&quot;;&quot;On&quot;;&quot;Off&quot;"/>
    <numFmt numFmtId="217" formatCode="[$€-2]\ #,##0.00_);[Red]\([$€-2]\ #,##0.00\)"/>
  </numFmts>
  <fonts count="13">
    <font>
      <sz val="10"/>
      <name val="Arial"/>
      <family val="0"/>
    </font>
    <font>
      <sz val="9"/>
      <name val="Arial"/>
      <family val="0"/>
    </font>
    <font>
      <b/>
      <sz val="9"/>
      <name val="Arial"/>
      <family val="0"/>
    </font>
    <font>
      <u val="single"/>
      <sz val="9"/>
      <name val="Arial"/>
      <family val="0"/>
    </font>
    <font>
      <b/>
      <u val="single"/>
      <sz val="9"/>
      <name val="Arial"/>
      <family val="2"/>
    </font>
    <font>
      <b/>
      <sz val="9"/>
      <color indexed="10"/>
      <name val="Arial"/>
      <family val="2"/>
    </font>
    <font>
      <u val="single"/>
      <sz val="10"/>
      <color indexed="12"/>
      <name val="Arial"/>
      <family val="0"/>
    </font>
    <font>
      <u val="single"/>
      <sz val="10"/>
      <color indexed="36"/>
      <name val="Arial"/>
      <family val="0"/>
    </font>
    <font>
      <b/>
      <u val="single"/>
      <sz val="8"/>
      <name val="Arial"/>
      <family val="2"/>
    </font>
    <font>
      <sz val="8"/>
      <name val="Arial"/>
      <family val="2"/>
    </font>
    <font>
      <b/>
      <sz val="8"/>
      <name val="Arial"/>
      <family val="2"/>
    </font>
    <font>
      <b/>
      <sz val="8"/>
      <color indexed="10"/>
      <name val="Arial"/>
      <family val="2"/>
    </font>
    <font>
      <b/>
      <sz val="10"/>
      <color indexed="10"/>
      <name val="Arial"/>
      <family val="2"/>
    </font>
  </fonts>
  <fills count="10">
    <fill>
      <patternFill/>
    </fill>
    <fill>
      <patternFill patternType="gray125"/>
    </fill>
    <fill>
      <patternFill patternType="solid">
        <fgColor indexed="50"/>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60">
    <border>
      <left/>
      <right/>
      <top/>
      <bottom/>
      <diagonal/>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medium"/>
      <right style="medium"/>
      <top style="medium"/>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color indexed="63"/>
      </top>
      <bottom>
        <color indexed="63"/>
      </bottom>
    </border>
    <border>
      <left style="medium"/>
      <right style="medium"/>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1" fillId="0" borderId="0" xfId="0" applyFont="1" applyAlignment="1">
      <alignment/>
    </xf>
    <xf numFmtId="180" fontId="1" fillId="0" borderId="0" xfId="0" applyNumberFormat="1" applyFont="1" applyAlignment="1">
      <alignment/>
    </xf>
    <xf numFmtId="181" fontId="1" fillId="0" borderId="0" xfId="0" applyNumberFormat="1" applyFont="1" applyAlignment="1">
      <alignment/>
    </xf>
    <xf numFmtId="180" fontId="2" fillId="0" borderId="1" xfId="0" applyNumberFormat="1" applyFont="1" applyBorder="1" applyAlignment="1">
      <alignment/>
    </xf>
    <xf numFmtId="181" fontId="2" fillId="0" borderId="2" xfId="0" applyNumberFormat="1" applyFont="1" applyBorder="1" applyAlignment="1">
      <alignment/>
    </xf>
    <xf numFmtId="180" fontId="2" fillId="0" borderId="3" xfId="0" applyNumberFormat="1" applyFont="1" applyBorder="1" applyAlignment="1">
      <alignment/>
    </xf>
    <xf numFmtId="181" fontId="1" fillId="0" borderId="4" xfId="0" applyNumberFormat="1" applyFont="1" applyBorder="1" applyAlignment="1">
      <alignment/>
    </xf>
    <xf numFmtId="180" fontId="1" fillId="0" borderId="5" xfId="0" applyNumberFormat="1" applyFont="1" applyBorder="1" applyAlignment="1">
      <alignment/>
    </xf>
    <xf numFmtId="181" fontId="1" fillId="0" borderId="6" xfId="0" applyNumberFormat="1" applyFont="1" applyBorder="1" applyAlignment="1">
      <alignment/>
    </xf>
    <xf numFmtId="180" fontId="1" fillId="0" borderId="7" xfId="0" applyNumberFormat="1" applyFont="1" applyBorder="1" applyAlignment="1">
      <alignment/>
    </xf>
    <xf numFmtId="180" fontId="1" fillId="0" borderId="1" xfId="0" applyNumberFormat="1" applyFont="1" applyBorder="1" applyAlignment="1">
      <alignment/>
    </xf>
    <xf numFmtId="180" fontId="1" fillId="0" borderId="3" xfId="0"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2" fillId="0" borderId="9" xfId="0" applyFont="1" applyBorder="1" applyAlignment="1">
      <alignment/>
    </xf>
    <xf numFmtId="0" fontId="1" fillId="0" borderId="11" xfId="0" applyFont="1" applyBorder="1" applyAlignment="1">
      <alignment horizontal="center"/>
    </xf>
    <xf numFmtId="183" fontId="1" fillId="0" borderId="12" xfId="0" applyNumberFormat="1" applyFont="1" applyBorder="1" applyAlignment="1">
      <alignment/>
    </xf>
    <xf numFmtId="183" fontId="1" fillId="0" borderId="5" xfId="0" applyNumberFormat="1" applyFont="1" applyBorder="1" applyAlignment="1">
      <alignment/>
    </xf>
    <xf numFmtId="183" fontId="1" fillId="0" borderId="7" xfId="0" applyNumberFormat="1" applyFont="1" applyBorder="1" applyAlignment="1">
      <alignment/>
    </xf>
    <xf numFmtId="180" fontId="1" fillId="0" borderId="0" xfId="0" applyNumberFormat="1" applyFont="1" applyBorder="1" applyAlignment="1">
      <alignment/>
    </xf>
    <xf numFmtId="181" fontId="1" fillId="0" borderId="0" xfId="0" applyNumberFormat="1" applyFont="1" applyBorder="1" applyAlignment="1">
      <alignment/>
    </xf>
    <xf numFmtId="181" fontId="1" fillId="0" borderId="13" xfId="0" applyNumberFormat="1" applyFont="1" applyBorder="1" applyAlignment="1">
      <alignment/>
    </xf>
    <xf numFmtId="180" fontId="1" fillId="0" borderId="14" xfId="0" applyNumberFormat="1" applyFont="1" applyBorder="1" applyAlignment="1">
      <alignment/>
    </xf>
    <xf numFmtId="180"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186" fontId="2" fillId="0" borderId="13" xfId="0" applyNumberFormat="1" applyFont="1" applyBorder="1" applyAlignment="1">
      <alignment/>
    </xf>
    <xf numFmtId="180" fontId="2" fillId="0" borderId="18" xfId="0" applyNumberFormat="1" applyFont="1" applyBorder="1" applyAlignment="1">
      <alignment/>
    </xf>
    <xf numFmtId="181" fontId="2" fillId="0" borderId="19" xfId="0" applyNumberFormat="1" applyFont="1" applyBorder="1" applyAlignment="1">
      <alignment/>
    </xf>
    <xf numFmtId="180" fontId="2" fillId="0" borderId="20" xfId="0" applyNumberFormat="1" applyFont="1" applyBorder="1" applyAlignment="1">
      <alignment/>
    </xf>
    <xf numFmtId="180" fontId="2" fillId="0" borderId="15" xfId="0" applyNumberFormat="1" applyFont="1" applyBorder="1" applyAlignment="1">
      <alignment/>
    </xf>
    <xf numFmtId="180" fontId="1" fillId="0" borderId="21" xfId="0" applyNumberFormat="1" applyFont="1" applyBorder="1" applyAlignment="1">
      <alignment/>
    </xf>
    <xf numFmtId="181" fontId="1" fillId="0" borderId="22" xfId="0" applyNumberFormat="1" applyFont="1" applyBorder="1" applyAlignment="1">
      <alignment/>
    </xf>
    <xf numFmtId="180" fontId="1" fillId="0" borderId="23" xfId="0" applyNumberFormat="1" applyFont="1" applyBorder="1" applyAlignment="1">
      <alignment/>
    </xf>
    <xf numFmtId="0" fontId="1" fillId="0" borderId="24" xfId="0" applyFont="1" applyBorder="1" applyAlignment="1">
      <alignment/>
    </xf>
    <xf numFmtId="0" fontId="1" fillId="0" borderId="16" xfId="0" applyFont="1" applyBorder="1" applyAlignment="1">
      <alignment horizontal="right"/>
    </xf>
    <xf numFmtId="180" fontId="2" fillId="0" borderId="25" xfId="0" applyNumberFormat="1" applyFont="1" applyBorder="1" applyAlignment="1">
      <alignment/>
    </xf>
    <xf numFmtId="181" fontId="2" fillId="0" borderId="26" xfId="0" applyNumberFormat="1" applyFont="1" applyBorder="1" applyAlignment="1">
      <alignment/>
    </xf>
    <xf numFmtId="180" fontId="2" fillId="0" borderId="27" xfId="0" applyNumberFormat="1" applyFont="1" applyBorder="1" applyAlignment="1">
      <alignment/>
    </xf>
    <xf numFmtId="186" fontId="1" fillId="0" borderId="13" xfId="0" applyNumberFormat="1" applyFont="1" applyBorder="1" applyAlignment="1">
      <alignment/>
    </xf>
    <xf numFmtId="180" fontId="2" fillId="0" borderId="5" xfId="0" applyNumberFormat="1" applyFont="1" applyBorder="1" applyAlignment="1">
      <alignment/>
    </xf>
    <xf numFmtId="180" fontId="2" fillId="0" borderId="7" xfId="0" applyNumberFormat="1" applyFont="1" applyBorder="1" applyAlignment="1">
      <alignment/>
    </xf>
    <xf numFmtId="0" fontId="0" fillId="0" borderId="0" xfId="0" applyAlignment="1">
      <alignment/>
    </xf>
    <xf numFmtId="0" fontId="2"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xf>
    <xf numFmtId="181" fontId="2" fillId="0" borderId="28" xfId="0" applyNumberFormat="1" applyFont="1" applyBorder="1" applyAlignment="1">
      <alignment/>
    </xf>
    <xf numFmtId="180" fontId="2" fillId="0" borderId="29" xfId="0" applyNumberFormat="1" applyFont="1" applyBorder="1" applyAlignment="1">
      <alignment/>
    </xf>
    <xf numFmtId="9" fontId="0" fillId="0" borderId="0" xfId="21" applyBorder="1" applyAlignment="1">
      <alignment/>
    </xf>
    <xf numFmtId="43" fontId="0" fillId="0" borderId="0" xfId="15" applyBorder="1" applyAlignment="1">
      <alignment/>
    </xf>
    <xf numFmtId="189" fontId="1" fillId="0" borderId="4" xfId="0" applyNumberFormat="1" applyFont="1" applyBorder="1" applyAlignment="1">
      <alignment/>
    </xf>
    <xf numFmtId="189" fontId="1" fillId="0" borderId="6" xfId="0" applyNumberFormat="1" applyFont="1" applyBorder="1" applyAlignment="1">
      <alignment/>
    </xf>
    <xf numFmtId="0" fontId="1" fillId="0" borderId="0" xfId="0" applyFont="1" applyBorder="1" applyAlignment="1">
      <alignment/>
    </xf>
    <xf numFmtId="189" fontId="1" fillId="0" borderId="0" xfId="0" applyNumberFormat="1" applyFont="1" applyBorder="1" applyAlignment="1">
      <alignment/>
    </xf>
    <xf numFmtId="189" fontId="1" fillId="0" borderId="2" xfId="0" applyNumberFormat="1" applyFont="1" applyBorder="1" applyAlignment="1">
      <alignment/>
    </xf>
    <xf numFmtId="0" fontId="3" fillId="0" borderId="9" xfId="0" applyFont="1" applyBorder="1" applyAlignment="1">
      <alignment horizontal="center"/>
    </xf>
    <xf numFmtId="0" fontId="2" fillId="0" borderId="9" xfId="0" applyFont="1" applyBorder="1" applyAlignment="1">
      <alignment horizontal="right"/>
    </xf>
    <xf numFmtId="189" fontId="2" fillId="0" borderId="6" xfId="0" applyNumberFormat="1" applyFont="1" applyBorder="1" applyAlignment="1">
      <alignment/>
    </xf>
    <xf numFmtId="180" fontId="2" fillId="0" borderId="1" xfId="0" applyNumberFormat="1" applyFont="1" applyBorder="1" applyAlignment="1">
      <alignment/>
    </xf>
    <xf numFmtId="189" fontId="2" fillId="0" borderId="2" xfId="0" applyNumberFormat="1" applyFont="1" applyBorder="1" applyAlignment="1">
      <alignment/>
    </xf>
    <xf numFmtId="180" fontId="2" fillId="0" borderId="3" xfId="0" applyNumberFormat="1" applyFont="1" applyBorder="1" applyAlignment="1">
      <alignment/>
    </xf>
    <xf numFmtId="0" fontId="2" fillId="0" borderId="10" xfId="0" applyFont="1" applyBorder="1" applyAlignment="1">
      <alignment horizontal="right"/>
    </xf>
    <xf numFmtId="180" fontId="2" fillId="0" borderId="0" xfId="0" applyNumberFormat="1" applyFont="1" applyBorder="1" applyAlignment="1">
      <alignment/>
    </xf>
    <xf numFmtId="181" fontId="2" fillId="0" borderId="0" xfId="0" applyNumberFormat="1" applyFont="1" applyBorder="1" applyAlignment="1">
      <alignment/>
    </xf>
    <xf numFmtId="181" fontId="2" fillId="0" borderId="13" xfId="0" applyNumberFormat="1" applyFont="1" applyBorder="1" applyAlignment="1">
      <alignment/>
    </xf>
    <xf numFmtId="180" fontId="2" fillId="0" borderId="14" xfId="0" applyNumberFormat="1" applyFont="1" applyBorder="1" applyAlignment="1">
      <alignment/>
    </xf>
    <xf numFmtId="9" fontId="0" fillId="0" borderId="0" xfId="21" applyAlignment="1">
      <alignment/>
    </xf>
    <xf numFmtId="9" fontId="1" fillId="0" borderId="9" xfId="0" applyNumberFormat="1" applyFont="1" applyBorder="1" applyAlignment="1">
      <alignment/>
    </xf>
    <xf numFmtId="0" fontId="2" fillId="0" borderId="0" xfId="0" applyFont="1" applyBorder="1" applyAlignment="1">
      <alignment horizontal="right"/>
    </xf>
    <xf numFmtId="180" fontId="2" fillId="0" borderId="0" xfId="0" applyNumberFormat="1" applyFont="1" applyBorder="1" applyAlignment="1">
      <alignment/>
    </xf>
    <xf numFmtId="189" fontId="2" fillId="0" borderId="0" xfId="0" applyNumberFormat="1" applyFont="1" applyBorder="1" applyAlignment="1">
      <alignment/>
    </xf>
    <xf numFmtId="0" fontId="1" fillId="0" borderId="0" xfId="0" applyFont="1" applyAlignment="1">
      <alignment/>
    </xf>
    <xf numFmtId="183" fontId="1" fillId="0" borderId="30" xfId="0" applyNumberFormat="1" applyFont="1" applyBorder="1" applyAlignment="1">
      <alignment/>
    </xf>
    <xf numFmtId="183" fontId="1" fillId="0" borderId="14" xfId="0" applyNumberFormat="1" applyFont="1" applyBorder="1" applyAlignment="1">
      <alignment/>
    </xf>
    <xf numFmtId="183" fontId="1" fillId="0" borderId="15" xfId="0" applyNumberFormat="1" applyFont="1" applyBorder="1" applyAlignment="1">
      <alignment/>
    </xf>
    <xf numFmtId="0" fontId="4" fillId="0" borderId="0" xfId="0" applyFont="1" applyAlignment="1">
      <alignment horizontal="center"/>
    </xf>
    <xf numFmtId="0" fontId="1" fillId="0" borderId="30" xfId="0" applyFont="1" applyBorder="1" applyAlignment="1">
      <alignment/>
    </xf>
    <xf numFmtId="0" fontId="1" fillId="0" borderId="4" xfId="0" applyFont="1" applyBorder="1" applyAlignment="1">
      <alignment horizontal="center" wrapText="1"/>
    </xf>
    <xf numFmtId="0" fontId="1" fillId="0" borderId="12" xfId="0" applyFont="1" applyBorder="1" applyAlignment="1">
      <alignment horizontal="center" wrapText="1"/>
    </xf>
    <xf numFmtId="0" fontId="1" fillId="0" borderId="0" xfId="0" applyFont="1" applyBorder="1" applyAlignment="1">
      <alignment horizontal="center" wrapText="1"/>
    </xf>
    <xf numFmtId="0" fontId="3" fillId="0" borderId="14" xfId="0" applyFont="1" applyBorder="1" applyAlignment="1">
      <alignment horizontal="center"/>
    </xf>
    <xf numFmtId="0" fontId="1" fillId="0" borderId="13"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4" xfId="0" applyFont="1" applyBorder="1" applyAlignment="1">
      <alignment/>
    </xf>
    <xf numFmtId="190" fontId="1" fillId="0" borderId="13" xfId="15" applyNumberFormat="1" applyFont="1" applyBorder="1" applyAlignment="1">
      <alignment/>
    </xf>
    <xf numFmtId="10" fontId="1" fillId="0" borderId="13" xfId="21" applyNumberFormat="1" applyFont="1" applyBorder="1" applyAlignment="1">
      <alignment/>
    </xf>
    <xf numFmtId="190" fontId="1" fillId="0" borderId="15" xfId="15" applyNumberFormat="1" applyFont="1" applyBorder="1" applyAlignment="1">
      <alignment/>
    </xf>
    <xf numFmtId="190" fontId="1" fillId="0" borderId="0" xfId="15" applyNumberFormat="1" applyFont="1" applyBorder="1" applyAlignment="1">
      <alignment/>
    </xf>
    <xf numFmtId="0" fontId="1" fillId="0" borderId="21" xfId="0" applyFont="1" applyBorder="1" applyAlignment="1">
      <alignment/>
    </xf>
    <xf numFmtId="190" fontId="1" fillId="0" borderId="22" xfId="15" applyNumberFormat="1" applyFont="1" applyBorder="1" applyAlignment="1">
      <alignment/>
    </xf>
    <xf numFmtId="10" fontId="1" fillId="0" borderId="22" xfId="21" applyNumberFormat="1" applyFont="1" applyBorder="1" applyAlignment="1">
      <alignment/>
    </xf>
    <xf numFmtId="190" fontId="1" fillId="0" borderId="22" xfId="0" applyNumberFormat="1" applyFont="1" applyBorder="1" applyAlignment="1">
      <alignment/>
    </xf>
    <xf numFmtId="190" fontId="1" fillId="0" borderId="23" xfId="0" applyNumberFormat="1" applyFont="1" applyBorder="1" applyAlignment="1">
      <alignment/>
    </xf>
    <xf numFmtId="190" fontId="1" fillId="0" borderId="0" xfId="0" applyNumberFormat="1" applyFont="1" applyBorder="1" applyAlignment="1">
      <alignment/>
    </xf>
    <xf numFmtId="190" fontId="1" fillId="0" borderId="23" xfId="15" applyNumberFormat="1" applyFont="1" applyBorder="1" applyAlignment="1">
      <alignment/>
    </xf>
    <xf numFmtId="0" fontId="1" fillId="0" borderId="31" xfId="0" applyFont="1" applyFill="1" applyBorder="1" applyAlignment="1">
      <alignment/>
    </xf>
    <xf numFmtId="10" fontId="1" fillId="0" borderId="0" xfId="21" applyNumberFormat="1" applyFont="1" applyBorder="1" applyAlignment="1">
      <alignment/>
    </xf>
    <xf numFmtId="10" fontId="5" fillId="0" borderId="0" xfId="21" applyNumberFormat="1" applyFont="1" applyFill="1" applyBorder="1" applyAlignment="1">
      <alignment horizontal="center"/>
    </xf>
    <xf numFmtId="190" fontId="1" fillId="0" borderId="0" xfId="0" applyNumberFormat="1" applyFont="1" applyAlignment="1">
      <alignment/>
    </xf>
    <xf numFmtId="0" fontId="1" fillId="0" borderId="0" xfId="0" applyFont="1" applyFill="1" applyBorder="1" applyAlignment="1">
      <alignment/>
    </xf>
    <xf numFmtId="183" fontId="2" fillId="0" borderId="7" xfId="0" applyNumberFormat="1" applyFont="1" applyBorder="1" applyAlignment="1">
      <alignment/>
    </xf>
    <xf numFmtId="191" fontId="1" fillId="0" borderId="0" xfId="15" applyNumberFormat="1" applyFont="1" applyFill="1" applyBorder="1" applyAlignment="1">
      <alignment/>
    </xf>
    <xf numFmtId="190" fontId="1" fillId="0" borderId="0" xfId="15" applyNumberFormat="1" applyFont="1" applyFill="1" applyBorder="1" applyAlignment="1">
      <alignment/>
    </xf>
    <xf numFmtId="10" fontId="1" fillId="0" borderId="32" xfId="21" applyNumberFormat="1" applyFont="1" applyFill="1" applyBorder="1" applyAlignment="1">
      <alignment/>
    </xf>
    <xf numFmtId="190" fontId="1" fillId="0" borderId="32" xfId="15" applyNumberFormat="1" applyFont="1" applyFill="1" applyBorder="1" applyAlignment="1">
      <alignment/>
    </xf>
    <xf numFmtId="43" fontId="1" fillId="0" borderId="0" xfId="15" applyFont="1" applyBorder="1" applyAlignment="1">
      <alignment/>
    </xf>
    <xf numFmtId="10" fontId="1" fillId="0" borderId="0" xfId="21" applyNumberFormat="1" applyFont="1" applyAlignment="1">
      <alignment/>
    </xf>
    <xf numFmtId="4" fontId="1" fillId="0" borderId="0" xfId="0" applyNumberFormat="1" applyFont="1" applyAlignment="1">
      <alignment/>
    </xf>
    <xf numFmtId="9" fontId="1" fillId="0" borderId="0" xfId="21" applyFont="1" applyAlignment="1">
      <alignment/>
    </xf>
    <xf numFmtId="211" fontId="1" fillId="0" borderId="0" xfId="0" applyNumberFormat="1" applyFont="1" applyAlignment="1">
      <alignment/>
    </xf>
    <xf numFmtId="0" fontId="1" fillId="0" borderId="33" xfId="0" applyFont="1" applyBorder="1" applyAlignment="1">
      <alignment horizontal="right"/>
    </xf>
    <xf numFmtId="180" fontId="1" fillId="0" borderId="34" xfId="0" applyNumberFormat="1" applyFont="1" applyBorder="1" applyAlignment="1">
      <alignment/>
    </xf>
    <xf numFmtId="0" fontId="1" fillId="0" borderId="0" xfId="0" applyFont="1" applyBorder="1" applyAlignment="1">
      <alignment horizontal="left"/>
    </xf>
    <xf numFmtId="0" fontId="2" fillId="0" borderId="0" xfId="0" applyFont="1" applyBorder="1" applyAlignment="1">
      <alignment/>
    </xf>
    <xf numFmtId="0" fontId="1" fillId="0" borderId="13" xfId="0" applyFont="1" applyBorder="1" applyAlignment="1">
      <alignment horizontal="left"/>
    </xf>
    <xf numFmtId="183" fontId="1" fillId="0" borderId="13" xfId="0" applyNumberFormat="1" applyFont="1" applyBorder="1" applyAlignment="1">
      <alignment/>
    </xf>
    <xf numFmtId="183" fontId="1" fillId="0" borderId="13" xfId="0" applyNumberFormat="1" applyFont="1" applyBorder="1" applyAlignment="1">
      <alignment/>
    </xf>
    <xf numFmtId="0" fontId="1" fillId="0" borderId="13" xfId="0" applyFont="1" applyBorder="1" applyAlignment="1">
      <alignment horizontal="left"/>
    </xf>
    <xf numFmtId="180" fontId="1" fillId="0" borderId="13" xfId="0" applyNumberFormat="1" applyFont="1" applyBorder="1" applyAlignment="1">
      <alignment/>
    </xf>
    <xf numFmtId="184" fontId="1" fillId="0" borderId="13" xfId="0" applyNumberFormat="1" applyFont="1" applyBorder="1" applyAlignment="1">
      <alignment/>
    </xf>
    <xf numFmtId="180" fontId="2" fillId="0" borderId="13" xfId="0" applyNumberFormat="1" applyFont="1" applyBorder="1" applyAlignment="1">
      <alignment/>
    </xf>
    <xf numFmtId="183" fontId="2" fillId="0" borderId="13" xfId="0" applyNumberFormat="1" applyFont="1" applyBorder="1" applyAlignment="1">
      <alignment/>
    </xf>
    <xf numFmtId="184" fontId="2" fillId="0" borderId="13" xfId="0" applyNumberFormat="1" applyFont="1" applyBorder="1" applyAlignment="1">
      <alignment/>
    </xf>
    <xf numFmtId="180" fontId="2" fillId="0" borderId="13" xfId="0" applyNumberFormat="1" applyFont="1" applyBorder="1" applyAlignment="1">
      <alignment horizontal="center"/>
    </xf>
    <xf numFmtId="0" fontId="9" fillId="0" borderId="0" xfId="0" applyFont="1" applyBorder="1" applyAlignment="1">
      <alignment/>
    </xf>
    <xf numFmtId="0" fontId="9" fillId="0" borderId="6" xfId="0" applyFont="1" applyFill="1" applyBorder="1" applyAlignment="1">
      <alignment horizontal="center"/>
    </xf>
    <xf numFmtId="0" fontId="9" fillId="0" borderId="13" xfId="0" applyFont="1" applyBorder="1" applyAlignment="1">
      <alignment/>
    </xf>
    <xf numFmtId="190" fontId="9" fillId="0" borderId="13" xfId="15" applyNumberFormat="1" applyFont="1" applyBorder="1" applyAlignment="1">
      <alignment/>
    </xf>
    <xf numFmtId="180" fontId="9" fillId="0" borderId="13" xfId="15" applyNumberFormat="1" applyFont="1" applyBorder="1" applyAlignment="1">
      <alignment/>
    </xf>
    <xf numFmtId="0" fontId="9" fillId="0" borderId="0" xfId="0" applyFont="1" applyBorder="1" applyAlignment="1">
      <alignment horizontal="right"/>
    </xf>
    <xf numFmtId="180" fontId="9" fillId="0" borderId="0" xfId="0" applyNumberFormat="1" applyFont="1" applyBorder="1" applyAlignment="1">
      <alignment/>
    </xf>
    <xf numFmtId="0" fontId="10" fillId="0" borderId="13" xfId="0" applyFont="1" applyBorder="1" applyAlignment="1">
      <alignment/>
    </xf>
    <xf numFmtId="190" fontId="10" fillId="0" borderId="13" xfId="15" applyNumberFormat="1" applyFont="1" applyBorder="1" applyAlignment="1">
      <alignment/>
    </xf>
    <xf numFmtId="180" fontId="10" fillId="0" borderId="13" xfId="15" applyNumberFormat="1" applyFont="1" applyBorder="1" applyAlignment="1">
      <alignment/>
    </xf>
    <xf numFmtId="0" fontId="10" fillId="0" borderId="0" xfId="0" applyFont="1" applyBorder="1" applyAlignment="1">
      <alignment/>
    </xf>
    <xf numFmtId="0" fontId="10" fillId="0" borderId="13" xfId="0" applyFont="1" applyBorder="1" applyAlignment="1">
      <alignment horizontal="center"/>
    </xf>
    <xf numFmtId="180" fontId="10" fillId="0" borderId="13" xfId="0" applyNumberFormat="1" applyFont="1" applyBorder="1" applyAlignment="1">
      <alignment/>
    </xf>
    <xf numFmtId="190" fontId="9" fillId="0" borderId="13" xfId="15" applyNumberFormat="1" applyFont="1" applyBorder="1" applyAlignment="1" quotePrefix="1">
      <alignment/>
    </xf>
    <xf numFmtId="190" fontId="10" fillId="0" borderId="13" xfId="15" applyNumberFormat="1" applyFont="1" applyBorder="1" applyAlignment="1" quotePrefix="1">
      <alignment/>
    </xf>
    <xf numFmtId="190" fontId="9" fillId="0" borderId="13" xfId="15" applyNumberFormat="1" applyFont="1" applyBorder="1" applyAlignment="1">
      <alignment horizontal="right"/>
    </xf>
    <xf numFmtId="190" fontId="9" fillId="0" borderId="13" xfId="15" applyNumberFormat="1" applyFont="1" applyBorder="1" applyAlignment="1" quotePrefix="1">
      <alignment horizontal="right"/>
    </xf>
    <xf numFmtId="190" fontId="10" fillId="0" borderId="13" xfId="15" applyNumberFormat="1" applyFont="1" applyBorder="1" applyAlignment="1">
      <alignment horizontal="right"/>
    </xf>
    <xf numFmtId="180" fontId="9" fillId="0" borderId="0" xfId="0" applyNumberFormat="1" applyFont="1" applyBorder="1" applyAlignment="1">
      <alignment horizontal="right"/>
    </xf>
    <xf numFmtId="0" fontId="1" fillId="0" borderId="0" xfId="0" applyFont="1" applyAlignment="1">
      <alignment horizontal="right"/>
    </xf>
    <xf numFmtId="190" fontId="10" fillId="0" borderId="13" xfId="15" applyNumberFormat="1" applyFont="1" applyBorder="1" applyAlignment="1" quotePrefix="1">
      <alignment horizontal="right"/>
    </xf>
    <xf numFmtId="180" fontId="10" fillId="0" borderId="13"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xf>
    <xf numFmtId="0" fontId="1" fillId="0" borderId="14" xfId="0" applyFont="1" applyBorder="1" applyAlignment="1">
      <alignment horizontal="center"/>
    </xf>
    <xf numFmtId="181" fontId="2" fillId="0" borderId="13" xfId="0" applyNumberFormat="1" applyFont="1" applyBorder="1" applyAlignment="1">
      <alignment horizontal="center"/>
    </xf>
    <xf numFmtId="10" fontId="11" fillId="2" borderId="0" xfId="21" applyNumberFormat="1" applyFont="1" applyFill="1" applyBorder="1" applyAlignment="1">
      <alignment horizontal="center"/>
    </xf>
    <xf numFmtId="190" fontId="11" fillId="2" borderId="0" xfId="0" applyNumberFormat="1" applyFont="1" applyFill="1" applyBorder="1" applyAlignment="1">
      <alignment/>
    </xf>
    <xf numFmtId="190" fontId="9" fillId="2" borderId="0" xfId="0" applyNumberFormat="1" applyFont="1" applyFill="1" applyBorder="1" applyAlignment="1">
      <alignment/>
    </xf>
    <xf numFmtId="0" fontId="2" fillId="0" borderId="35" xfId="0" applyFont="1" applyBorder="1" applyAlignment="1">
      <alignment/>
    </xf>
    <xf numFmtId="0" fontId="2" fillId="0" borderId="36" xfId="0" applyFont="1" applyBorder="1" applyAlignment="1">
      <alignment/>
    </xf>
    <xf numFmtId="10" fontId="12" fillId="3" borderId="0" xfId="21" applyNumberFormat="1" applyFont="1" applyFill="1" applyBorder="1" applyAlignment="1">
      <alignment horizontal="center"/>
    </xf>
    <xf numFmtId="181" fontId="1" fillId="0" borderId="32" xfId="0" applyNumberFormat="1" applyFont="1" applyBorder="1" applyAlignment="1">
      <alignment/>
    </xf>
    <xf numFmtId="180" fontId="1" fillId="0" borderId="37" xfId="0" applyNumberFormat="1" applyFont="1" applyBorder="1" applyAlignment="1">
      <alignment/>
    </xf>
    <xf numFmtId="180" fontId="1" fillId="0" borderId="31" xfId="0" applyNumberFormat="1" applyFont="1" applyBorder="1" applyAlignment="1">
      <alignment/>
    </xf>
    <xf numFmtId="0" fontId="1" fillId="0" borderId="38" xfId="0" applyFont="1" applyBorder="1" applyAlignment="1">
      <alignment horizontal="right"/>
    </xf>
    <xf numFmtId="180" fontId="1" fillId="0" borderId="39" xfId="0" applyNumberFormat="1" applyFont="1" applyBorder="1" applyAlignment="1">
      <alignment/>
    </xf>
    <xf numFmtId="181" fontId="1" fillId="0" borderId="40" xfId="0" applyNumberFormat="1" applyFont="1" applyBorder="1" applyAlignment="1">
      <alignment/>
    </xf>
    <xf numFmtId="180" fontId="1" fillId="0" borderId="41" xfId="0" applyNumberFormat="1" applyFont="1" applyBorder="1" applyAlignment="1">
      <alignment/>
    </xf>
    <xf numFmtId="0" fontId="3" fillId="0" borderId="5" xfId="0" applyFont="1" applyBorder="1" applyAlignment="1">
      <alignment horizontal="center"/>
    </xf>
    <xf numFmtId="0" fontId="1" fillId="0" borderId="25"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10" fontId="5" fillId="3" borderId="0" xfId="21" applyNumberFormat="1" applyFont="1" applyFill="1" applyBorder="1" applyAlignment="1">
      <alignment horizontal="center"/>
    </xf>
    <xf numFmtId="0" fontId="1" fillId="0" borderId="42" xfId="0" applyFont="1" applyBorder="1" applyAlignment="1">
      <alignment/>
    </xf>
    <xf numFmtId="190" fontId="1" fillId="0" borderId="43" xfId="15" applyNumberFormat="1" applyFont="1" applyBorder="1" applyAlignment="1">
      <alignment/>
    </xf>
    <xf numFmtId="10" fontId="1" fillId="0" borderId="43" xfId="21" applyNumberFormat="1" applyFont="1" applyBorder="1" applyAlignment="1">
      <alignment/>
    </xf>
    <xf numFmtId="190" fontId="1" fillId="0" borderId="44" xfId="15" applyNumberFormat="1" applyFont="1" applyBorder="1" applyAlignment="1">
      <alignment/>
    </xf>
    <xf numFmtId="0" fontId="2" fillId="0" borderId="25" xfId="0" applyFont="1" applyBorder="1" applyAlignment="1">
      <alignment/>
    </xf>
    <xf numFmtId="190" fontId="2" fillId="0" borderId="26" xfId="15" applyNumberFormat="1" applyFont="1" applyBorder="1" applyAlignment="1">
      <alignment/>
    </xf>
    <xf numFmtId="10" fontId="2" fillId="0" borderId="26" xfId="21" applyNumberFormat="1" applyFont="1" applyBorder="1" applyAlignment="1">
      <alignment/>
    </xf>
    <xf numFmtId="190" fontId="2" fillId="0" borderId="26" xfId="0" applyNumberFormat="1" applyFont="1" applyBorder="1" applyAlignment="1">
      <alignment/>
    </xf>
    <xf numFmtId="190" fontId="2" fillId="0" borderId="27" xfId="0" applyNumberFormat="1" applyFont="1" applyBorder="1" applyAlignment="1">
      <alignment/>
    </xf>
    <xf numFmtId="190" fontId="2" fillId="0" borderId="27" xfId="15" applyNumberFormat="1" applyFont="1" applyBorder="1" applyAlignment="1">
      <alignment/>
    </xf>
    <xf numFmtId="0" fontId="5" fillId="0" borderId="0" xfId="0" applyFont="1" applyFill="1" applyAlignment="1">
      <alignment horizontal="right"/>
    </xf>
    <xf numFmtId="0" fontId="12" fillId="3" borderId="0" xfId="0" applyFont="1" applyFill="1" applyAlignment="1">
      <alignment horizontal="right"/>
    </xf>
    <xf numFmtId="0" fontId="5" fillId="0" borderId="0" xfId="0" applyFont="1" applyFill="1" applyBorder="1" applyAlignment="1">
      <alignment horizontal="right"/>
    </xf>
    <xf numFmtId="0" fontId="2" fillId="0" borderId="35" xfId="0" applyFont="1" applyBorder="1" applyAlignment="1">
      <alignment horizontal="left"/>
    </xf>
    <xf numFmtId="0" fontId="2" fillId="0" borderId="36" xfId="0" applyFont="1" applyBorder="1" applyAlignment="1">
      <alignment horizontal="left"/>
    </xf>
    <xf numFmtId="0" fontId="2" fillId="0" borderId="13" xfId="0" applyFont="1" applyBorder="1" applyAlignment="1">
      <alignment horizontal="center"/>
    </xf>
    <xf numFmtId="0" fontId="1" fillId="0" borderId="13" xfId="0" applyFont="1" applyBorder="1" applyAlignment="1">
      <alignment horizontal="center"/>
    </xf>
    <xf numFmtId="180" fontId="2" fillId="0" borderId="13" xfId="0" applyNumberFormat="1" applyFont="1" applyBorder="1" applyAlignment="1">
      <alignment horizontal="center"/>
    </xf>
    <xf numFmtId="0" fontId="2" fillId="0" borderId="13" xfId="0" applyFont="1" applyBorder="1" applyAlignment="1">
      <alignment horizontal="center" vertical="center"/>
    </xf>
    <xf numFmtId="0" fontId="4" fillId="0" borderId="0" xfId="0" applyFont="1" applyAlignment="1">
      <alignment horizontal="center"/>
    </xf>
    <xf numFmtId="0" fontId="11" fillId="2" borderId="0" xfId="0" applyFont="1" applyFill="1" applyBorder="1" applyAlignment="1">
      <alignment horizontal="right"/>
    </xf>
    <xf numFmtId="0" fontId="4" fillId="0" borderId="0" xfId="0" applyFont="1" applyFill="1" applyAlignment="1">
      <alignment horizontal="center"/>
    </xf>
    <xf numFmtId="0" fontId="1" fillId="0" borderId="0" xfId="0" applyFont="1" applyFill="1" applyAlignment="1">
      <alignment/>
    </xf>
    <xf numFmtId="0" fontId="4" fillId="4" borderId="45" xfId="0" applyFont="1" applyFill="1" applyBorder="1" applyAlignment="1">
      <alignment horizontal="center"/>
    </xf>
    <xf numFmtId="0" fontId="4" fillId="4" borderId="11" xfId="0" applyFont="1" applyFill="1" applyBorder="1" applyAlignment="1">
      <alignment horizontal="center"/>
    </xf>
    <xf numFmtId="0" fontId="4" fillId="4" borderId="46" xfId="0" applyFont="1" applyFill="1" applyBorder="1" applyAlignment="1">
      <alignment horizontal="center"/>
    </xf>
    <xf numFmtId="0" fontId="1" fillId="0" borderId="45" xfId="0" applyFont="1" applyBorder="1" applyAlignment="1">
      <alignment horizontal="center"/>
    </xf>
    <xf numFmtId="0" fontId="1" fillId="0" borderId="11" xfId="0" applyFont="1" applyBorder="1" applyAlignment="1">
      <alignment horizontal="center"/>
    </xf>
    <xf numFmtId="0" fontId="1" fillId="0" borderId="46" xfId="0" applyFont="1" applyBorder="1" applyAlignment="1">
      <alignment horizontal="center"/>
    </xf>
    <xf numFmtId="0" fontId="4" fillId="5" borderId="45" xfId="0" applyFont="1" applyFill="1" applyBorder="1" applyAlignment="1">
      <alignment horizontal="center"/>
    </xf>
    <xf numFmtId="0" fontId="4" fillId="5" borderId="11" xfId="0" applyFont="1" applyFill="1" applyBorder="1" applyAlignment="1">
      <alignment horizontal="center"/>
    </xf>
    <xf numFmtId="0" fontId="4" fillId="5" borderId="46" xfId="0" applyFont="1" applyFill="1" applyBorder="1" applyAlignment="1">
      <alignment horizontal="center"/>
    </xf>
    <xf numFmtId="0" fontId="2" fillId="0" borderId="33" xfId="0" applyFont="1" applyBorder="1" applyAlignment="1">
      <alignment horizontal="left"/>
    </xf>
    <xf numFmtId="0" fontId="2" fillId="0" borderId="34" xfId="0" applyFont="1" applyBorder="1" applyAlignment="1">
      <alignment horizontal="left"/>
    </xf>
    <xf numFmtId="0" fontId="2" fillId="0" borderId="45" xfId="0" applyFont="1" applyBorder="1" applyAlignment="1">
      <alignment horizontal="center"/>
    </xf>
    <xf numFmtId="0" fontId="2" fillId="0" borderId="11" xfId="0" applyFont="1" applyBorder="1" applyAlignment="1">
      <alignment horizontal="center"/>
    </xf>
    <xf numFmtId="0" fontId="2" fillId="0" borderId="46" xfId="0" applyFont="1" applyBorder="1" applyAlignment="1">
      <alignment horizontal="center"/>
    </xf>
    <xf numFmtId="0" fontId="1" fillId="0" borderId="11" xfId="0" applyFont="1" applyBorder="1" applyAlignment="1">
      <alignment horizont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180" fontId="2" fillId="0" borderId="25" xfId="0" applyNumberFormat="1" applyFont="1" applyBorder="1" applyAlignment="1">
      <alignment horizontal="center"/>
    </xf>
    <xf numFmtId="180" fontId="2" fillId="0" borderId="26" xfId="0" applyNumberFormat="1" applyFont="1" applyBorder="1" applyAlignment="1">
      <alignment horizontal="center"/>
    </xf>
    <xf numFmtId="180" fontId="2" fillId="0" borderId="27" xfId="0" applyNumberFormat="1" applyFont="1" applyBorder="1" applyAlignment="1">
      <alignment horizontal="center"/>
    </xf>
    <xf numFmtId="0" fontId="1" fillId="0" borderId="47" xfId="0" applyFont="1" applyBorder="1" applyAlignment="1">
      <alignment horizontal="center"/>
    </xf>
    <xf numFmtId="0" fontId="12" fillId="3" borderId="0" xfId="0" applyFont="1" applyFill="1" applyBorder="1" applyAlignment="1">
      <alignment horizontal="right"/>
    </xf>
    <xf numFmtId="0" fontId="4" fillId="6" borderId="45" xfId="0" applyFont="1" applyFill="1" applyBorder="1" applyAlignment="1">
      <alignment horizontal="center"/>
    </xf>
    <xf numFmtId="0" fontId="4" fillId="6" borderId="11" xfId="0" applyFont="1" applyFill="1" applyBorder="1" applyAlignment="1">
      <alignment horizontal="center"/>
    </xf>
    <xf numFmtId="0" fontId="4" fillId="6" borderId="46" xfId="0" applyFont="1" applyFill="1" applyBorder="1" applyAlignment="1">
      <alignment horizontal="center"/>
    </xf>
    <xf numFmtId="0" fontId="4" fillId="3" borderId="45" xfId="0" applyFont="1" applyFill="1" applyBorder="1" applyAlignment="1">
      <alignment horizontal="center"/>
    </xf>
    <xf numFmtId="0" fontId="4" fillId="3" borderId="11" xfId="0" applyFont="1" applyFill="1" applyBorder="1" applyAlignment="1">
      <alignment horizontal="center"/>
    </xf>
    <xf numFmtId="0" fontId="4" fillId="3" borderId="46" xfId="0" applyFont="1" applyFill="1" applyBorder="1" applyAlignment="1">
      <alignment horizontal="center"/>
    </xf>
    <xf numFmtId="0" fontId="1" fillId="0" borderId="48" xfId="0" applyFont="1" applyBorder="1" applyAlignment="1">
      <alignment horizontal="center"/>
    </xf>
    <xf numFmtId="0" fontId="1" fillId="0" borderId="35" xfId="0" applyFont="1" applyBorder="1" applyAlignment="1">
      <alignment horizontal="center"/>
    </xf>
    <xf numFmtId="0" fontId="1" fillId="0" borderId="4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50" xfId="0" applyFont="1" applyFill="1" applyBorder="1" applyAlignment="1">
      <alignment horizontal="center" vertical="top" wrapText="1"/>
    </xf>
    <xf numFmtId="0" fontId="1" fillId="0" borderId="48" xfId="0" applyFont="1" applyFill="1" applyBorder="1" applyAlignment="1">
      <alignment horizontal="center" vertical="top" wrapText="1"/>
    </xf>
    <xf numFmtId="190" fontId="11" fillId="2" borderId="0" xfId="0" applyNumberFormat="1" applyFont="1" applyFill="1" applyBorder="1" applyAlignment="1">
      <alignment horizontal="left"/>
    </xf>
    <xf numFmtId="190" fontId="12" fillId="3" borderId="0" xfId="0" applyNumberFormat="1" applyFont="1" applyFill="1" applyBorder="1" applyAlignment="1">
      <alignment horizontal="left"/>
    </xf>
    <xf numFmtId="180" fontId="2" fillId="0" borderId="45" xfId="0" applyNumberFormat="1" applyFont="1" applyBorder="1" applyAlignment="1">
      <alignment horizontal="right"/>
    </xf>
    <xf numFmtId="180" fontId="2" fillId="0" borderId="11" xfId="0" applyNumberFormat="1" applyFont="1" applyBorder="1" applyAlignment="1">
      <alignment horizontal="right"/>
    </xf>
    <xf numFmtId="180" fontId="2" fillId="0" borderId="46" xfId="0" applyNumberFormat="1" applyFont="1" applyBorder="1" applyAlignment="1">
      <alignment horizontal="right"/>
    </xf>
    <xf numFmtId="0" fontId="2" fillId="0" borderId="0" xfId="0" applyFont="1" applyBorder="1" applyAlignment="1">
      <alignment horizontal="center"/>
    </xf>
    <xf numFmtId="0" fontId="2" fillId="0" borderId="45" xfId="0" applyFont="1" applyBorder="1" applyAlignment="1">
      <alignment horizontal="left"/>
    </xf>
    <xf numFmtId="0" fontId="2" fillId="0" borderId="51" xfId="0" applyFont="1" applyBorder="1" applyAlignment="1">
      <alignment horizontal="left"/>
    </xf>
    <xf numFmtId="0" fontId="1" fillId="0" borderId="47" xfId="0" applyFont="1" applyBorder="1" applyAlignment="1">
      <alignment horizontal="center"/>
    </xf>
    <xf numFmtId="0" fontId="2" fillId="0" borderId="10" xfId="0" applyFont="1" applyBorder="1" applyAlignment="1">
      <alignment horizontal="center" vertical="center"/>
    </xf>
    <xf numFmtId="180" fontId="2" fillId="0" borderId="52" xfId="0" applyNumberFormat="1" applyFont="1" applyBorder="1" applyAlignment="1">
      <alignment horizontal="right"/>
    </xf>
    <xf numFmtId="0" fontId="4" fillId="7" borderId="45" xfId="0" applyFont="1" applyFill="1" applyBorder="1" applyAlignment="1">
      <alignment horizontal="center"/>
    </xf>
    <xf numFmtId="0" fontId="4" fillId="7" borderId="11" xfId="0" applyFont="1" applyFill="1" applyBorder="1" applyAlignment="1">
      <alignment horizontal="center"/>
    </xf>
    <xf numFmtId="0" fontId="4" fillId="7" borderId="46" xfId="0" applyFont="1" applyFill="1" applyBorder="1" applyAlignment="1">
      <alignment horizontal="center"/>
    </xf>
    <xf numFmtId="0" fontId="4" fillId="8" borderId="45" xfId="0" applyFont="1" applyFill="1" applyBorder="1" applyAlignment="1">
      <alignment horizontal="center"/>
    </xf>
    <xf numFmtId="0" fontId="4" fillId="8" borderId="11" xfId="0" applyFont="1" applyFill="1" applyBorder="1" applyAlignment="1">
      <alignment horizontal="center"/>
    </xf>
    <xf numFmtId="0" fontId="4" fillId="8" borderId="46" xfId="0" applyFont="1" applyFill="1" applyBorder="1" applyAlignment="1">
      <alignment horizontal="center"/>
    </xf>
    <xf numFmtId="0" fontId="5" fillId="3" borderId="0" xfId="0" applyFont="1" applyFill="1" applyBorder="1" applyAlignment="1">
      <alignment horizontal="right"/>
    </xf>
    <xf numFmtId="0" fontId="5" fillId="3" borderId="0" xfId="0" applyFont="1" applyFill="1" applyAlignment="1">
      <alignment horizontal="right"/>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180" fontId="2" fillId="0" borderId="0" xfId="0" applyNumberFormat="1" applyFont="1" applyBorder="1" applyAlignment="1">
      <alignment horizontal="center"/>
    </xf>
    <xf numFmtId="0" fontId="8" fillId="9" borderId="0" xfId="0" applyFont="1" applyFill="1" applyBorder="1" applyAlignment="1">
      <alignment horizontal="center"/>
    </xf>
    <xf numFmtId="0" fontId="1" fillId="0" borderId="0" xfId="0" applyFont="1" applyAlignment="1">
      <alignment horizontal="left" vertical="top" wrapText="1"/>
    </xf>
    <xf numFmtId="0" fontId="10" fillId="0" borderId="57" xfId="0" applyFont="1" applyBorder="1" applyAlignment="1">
      <alignment horizontal="center"/>
    </xf>
    <xf numFmtId="0" fontId="10" fillId="0" borderId="58" xfId="0" applyFont="1" applyBorder="1" applyAlignment="1">
      <alignment horizontal="center"/>
    </xf>
    <xf numFmtId="0" fontId="10" fillId="0" borderId="59" xfId="0" applyFont="1" applyBorder="1" applyAlignment="1">
      <alignment horizontal="center"/>
    </xf>
    <xf numFmtId="0" fontId="10" fillId="0" borderId="13" xfId="0" applyFont="1" applyBorder="1" applyAlignment="1">
      <alignment horizontal="center" wrapText="1"/>
    </xf>
    <xf numFmtId="0" fontId="9" fillId="0" borderId="25" xfId="0" applyFont="1" applyFill="1" applyBorder="1" applyAlignment="1">
      <alignment horizontal="center"/>
    </xf>
    <xf numFmtId="0" fontId="9" fillId="0" borderId="26" xfId="0" applyFont="1" applyFill="1" applyBorder="1" applyAlignment="1">
      <alignment horizontal="center"/>
    </xf>
    <xf numFmtId="0" fontId="10" fillId="0" borderId="25" xfId="0" applyFont="1" applyFill="1" applyBorder="1" applyAlignment="1">
      <alignment horizontal="center"/>
    </xf>
    <xf numFmtId="0" fontId="10" fillId="0" borderId="26" xfId="0" applyFont="1" applyFill="1" applyBorder="1" applyAlignment="1">
      <alignment horizontal="center"/>
    </xf>
    <xf numFmtId="0" fontId="0" fillId="0" borderId="11" xfId="0" applyBorder="1" applyAlignment="1">
      <alignment horizontal="center"/>
    </xf>
    <xf numFmtId="0" fontId="0" fillId="0" borderId="46" xfId="0" applyBorder="1" applyAlignment="1">
      <alignment horizontal="center"/>
    </xf>
    <xf numFmtId="0" fontId="1" fillId="0" borderId="0" xfId="0" applyFont="1" applyAlignment="1">
      <alignment/>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OPB_for%20printing\Annexure%20B_Costing%20Relevant%20Tables_11%20March%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Care Costing Model"/>
      <sheetName val="Res Care Prog Costing"/>
      <sheetName val="Comm Care Costing Model"/>
      <sheetName val="Comm Care Prog Costing"/>
      <sheetName val="Home Based Costing Model"/>
      <sheetName val="Home Based Prog Costing"/>
      <sheetName val="Pov Relief Costing Model"/>
      <sheetName val="Pov Relief Prog Costs"/>
      <sheetName val="Capital Prog Costs"/>
      <sheetName val="Admin Prog Costs"/>
      <sheetName val="VOP Distrib for Res Care"/>
    </sheetNames>
    <sheetDataSet>
      <sheetData sheetId="0">
        <row r="54">
          <cell r="D54">
            <v>1788.25</v>
          </cell>
          <cell r="G54">
            <v>2474</v>
          </cell>
          <cell r="J54">
            <v>2528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H57"/>
  <sheetViews>
    <sheetView workbookViewId="0" topLeftCell="A1">
      <selection activeCell="D59" sqref="D59"/>
    </sheetView>
  </sheetViews>
  <sheetFormatPr defaultColWidth="9.140625" defaultRowHeight="12.75"/>
  <cols>
    <col min="1" max="1" width="33.28125" style="115" customWidth="1"/>
    <col min="2" max="2" width="15.00390625" style="21" bestFit="1" customWidth="1"/>
    <col min="3" max="3" width="13.421875" style="22" bestFit="1" customWidth="1"/>
    <col min="4" max="4" width="12.140625" style="21" bestFit="1" customWidth="1"/>
    <col min="5" max="5" width="15.00390625" style="21" bestFit="1" customWidth="1"/>
    <col min="6" max="6" width="13.421875" style="22" bestFit="1" customWidth="1"/>
    <col min="7" max="7" width="12.140625" style="21" customWidth="1"/>
    <col min="8" max="8" width="15.00390625" style="21" bestFit="1" customWidth="1"/>
    <col min="9" max="9" width="13.421875" style="22" bestFit="1" customWidth="1"/>
    <col min="10" max="10" width="12.140625" style="21" customWidth="1"/>
    <col min="11" max="11" width="9.140625" style="54" customWidth="1"/>
    <col min="12" max="12" width="9.421875" style="54" customWidth="1"/>
    <col min="13" max="16384" width="9.140625" style="54" customWidth="1"/>
  </cols>
  <sheetData>
    <row r="3" spans="1:10" ht="12">
      <c r="A3" s="186" t="s">
        <v>6</v>
      </c>
      <c r="B3" s="186"/>
      <c r="C3" s="186"/>
      <c r="D3" s="186"/>
      <c r="E3" s="186"/>
      <c r="F3" s="186"/>
      <c r="G3" s="186"/>
      <c r="H3" s="186"/>
      <c r="I3" s="186"/>
      <c r="J3" s="186"/>
    </row>
    <row r="4" spans="1:10" ht="12">
      <c r="A4" s="187" t="s">
        <v>56</v>
      </c>
      <c r="B4" s="187"/>
      <c r="C4" s="187"/>
      <c r="D4" s="187"/>
      <c r="E4" s="187"/>
      <c r="F4" s="187"/>
      <c r="G4" s="187"/>
      <c r="H4" s="187"/>
      <c r="I4" s="187"/>
      <c r="J4" s="187"/>
    </row>
    <row r="5" spans="1:10" ht="12">
      <c r="A5" s="189" t="s">
        <v>2</v>
      </c>
      <c r="B5" s="188" t="s">
        <v>55</v>
      </c>
      <c r="C5" s="188"/>
      <c r="D5" s="188"/>
      <c r="E5" s="188" t="s">
        <v>0</v>
      </c>
      <c r="F5" s="188"/>
      <c r="G5" s="188"/>
      <c r="H5" s="188" t="s">
        <v>70</v>
      </c>
      <c r="I5" s="188"/>
      <c r="J5" s="188"/>
    </row>
    <row r="6" spans="1:10" s="46" customFormat="1" ht="12">
      <c r="A6" s="189"/>
      <c r="B6" s="126" t="s">
        <v>3</v>
      </c>
      <c r="C6" s="152" t="s">
        <v>4</v>
      </c>
      <c r="D6" s="126" t="s">
        <v>5</v>
      </c>
      <c r="E6" s="126" t="s">
        <v>3</v>
      </c>
      <c r="F6" s="152" t="s">
        <v>4</v>
      </c>
      <c r="G6" s="126" t="s">
        <v>5</v>
      </c>
      <c r="H6" s="126" t="s">
        <v>3</v>
      </c>
      <c r="I6" s="152" t="s">
        <v>4</v>
      </c>
      <c r="J6" s="126" t="s">
        <v>5</v>
      </c>
    </row>
    <row r="7" spans="1:10" ht="12">
      <c r="A7" s="117" t="s">
        <v>8</v>
      </c>
      <c r="B7" s="118">
        <v>2000</v>
      </c>
      <c r="C7" s="41">
        <v>1</v>
      </c>
      <c r="D7" s="119">
        <f>B7*C7</f>
        <v>2000</v>
      </c>
      <c r="E7" s="118">
        <f>2000/0.75</f>
        <v>2666.6666666666665</v>
      </c>
      <c r="F7" s="41">
        <v>1</v>
      </c>
      <c r="G7" s="119">
        <f>+E7*F7</f>
        <v>2666.6666666666665</v>
      </c>
      <c r="H7" s="118">
        <f>2000/0.75</f>
        <v>2666.6666666666665</v>
      </c>
      <c r="I7" s="41">
        <v>1</v>
      </c>
      <c r="J7" s="119">
        <f>+H7*I7</f>
        <v>2666.6666666666665</v>
      </c>
    </row>
    <row r="8" spans="1:10" ht="12">
      <c r="A8" s="117" t="s">
        <v>9</v>
      </c>
      <c r="B8" s="119">
        <v>500</v>
      </c>
      <c r="C8" s="41">
        <v>1</v>
      </c>
      <c r="D8" s="119">
        <f aca="true" t="shared" si="0" ref="D8:D46">B8*C8</f>
        <v>500</v>
      </c>
      <c r="E8" s="119">
        <f>500/0.75</f>
        <v>666.6666666666666</v>
      </c>
      <c r="F8" s="41">
        <v>1</v>
      </c>
      <c r="G8" s="119">
        <f>+E8*F8</f>
        <v>666.6666666666666</v>
      </c>
      <c r="H8" s="119">
        <f>500/0.75</f>
        <v>666.6666666666666</v>
      </c>
      <c r="I8" s="41">
        <v>1</v>
      </c>
      <c r="J8" s="119">
        <f>+H8*I8</f>
        <v>666.6666666666666</v>
      </c>
    </row>
    <row r="9" spans="1:10" ht="12">
      <c r="A9" s="117" t="s">
        <v>10</v>
      </c>
      <c r="B9" s="119">
        <v>1000</v>
      </c>
      <c r="C9" s="41">
        <v>1</v>
      </c>
      <c r="D9" s="119">
        <f t="shared" si="0"/>
        <v>1000</v>
      </c>
      <c r="E9" s="119">
        <f>1000/0.75</f>
        <v>1333.3333333333333</v>
      </c>
      <c r="F9" s="41">
        <v>1</v>
      </c>
      <c r="G9" s="119">
        <f aca="true" t="shared" si="1" ref="G9:G28">+E9*F9</f>
        <v>1333.3333333333333</v>
      </c>
      <c r="H9" s="119">
        <f>1000/0.75</f>
        <v>1333.3333333333333</v>
      </c>
      <c r="I9" s="41">
        <v>1</v>
      </c>
      <c r="J9" s="119">
        <f aca="true" t="shared" si="2" ref="J9:J46">+H9*I9</f>
        <v>1333.3333333333333</v>
      </c>
    </row>
    <row r="10" spans="1:10" ht="12">
      <c r="A10" s="117" t="s">
        <v>71</v>
      </c>
      <c r="B10" s="119"/>
      <c r="C10" s="41"/>
      <c r="D10" s="119"/>
      <c r="E10" s="119"/>
      <c r="F10" s="41"/>
      <c r="G10" s="119"/>
      <c r="H10" s="119"/>
      <c r="I10" s="41"/>
      <c r="J10" s="119">
        <f t="shared" si="2"/>
        <v>0</v>
      </c>
    </row>
    <row r="11" spans="1:10" ht="12">
      <c r="A11" s="117" t="s">
        <v>72</v>
      </c>
      <c r="B11" s="119">
        <v>7000</v>
      </c>
      <c r="C11" s="41">
        <v>1</v>
      </c>
      <c r="D11" s="119">
        <f t="shared" si="0"/>
        <v>7000</v>
      </c>
      <c r="E11" s="119">
        <v>10000</v>
      </c>
      <c r="F11" s="41">
        <v>1</v>
      </c>
      <c r="G11" s="119">
        <f t="shared" si="1"/>
        <v>10000</v>
      </c>
      <c r="H11" s="119">
        <v>10000</v>
      </c>
      <c r="I11" s="41">
        <v>1</v>
      </c>
      <c r="J11" s="119">
        <f t="shared" si="2"/>
        <v>10000</v>
      </c>
    </row>
    <row r="12" spans="1:10" ht="12">
      <c r="A12" s="117" t="s">
        <v>73</v>
      </c>
      <c r="B12" s="119">
        <v>5000</v>
      </c>
      <c r="C12" s="41">
        <v>1</v>
      </c>
      <c r="D12" s="119">
        <f t="shared" si="0"/>
        <v>5000</v>
      </c>
      <c r="E12" s="119">
        <v>7000</v>
      </c>
      <c r="F12" s="41">
        <v>1</v>
      </c>
      <c r="G12" s="119">
        <f t="shared" si="1"/>
        <v>7000</v>
      </c>
      <c r="H12" s="119">
        <v>7000</v>
      </c>
      <c r="I12" s="41">
        <v>1</v>
      </c>
      <c r="J12" s="119">
        <f t="shared" si="2"/>
        <v>7000</v>
      </c>
    </row>
    <row r="13" spans="1:10" ht="12">
      <c r="A13" s="117" t="s">
        <v>47</v>
      </c>
      <c r="B13" s="119"/>
      <c r="C13" s="41"/>
      <c r="D13" s="119">
        <f t="shared" si="0"/>
        <v>0</v>
      </c>
      <c r="E13" s="119">
        <v>4000</v>
      </c>
      <c r="F13" s="41">
        <v>1</v>
      </c>
      <c r="G13" s="119">
        <f t="shared" si="1"/>
        <v>4000</v>
      </c>
      <c r="H13" s="119">
        <v>4000</v>
      </c>
      <c r="I13" s="41">
        <v>1</v>
      </c>
      <c r="J13" s="119">
        <f t="shared" si="2"/>
        <v>4000</v>
      </c>
    </row>
    <row r="14" spans="1:10" ht="12">
      <c r="A14" s="117" t="s">
        <v>74</v>
      </c>
      <c r="B14" s="119">
        <v>3500</v>
      </c>
      <c r="C14" s="41">
        <v>1</v>
      </c>
      <c r="D14" s="119">
        <f t="shared" si="0"/>
        <v>3500</v>
      </c>
      <c r="E14" s="119">
        <v>3500</v>
      </c>
      <c r="F14" s="41">
        <v>1</v>
      </c>
      <c r="G14" s="119">
        <f t="shared" si="1"/>
        <v>3500</v>
      </c>
      <c r="H14" s="119">
        <v>3500</v>
      </c>
      <c r="I14" s="41">
        <v>1</v>
      </c>
      <c r="J14" s="119">
        <f t="shared" si="2"/>
        <v>3500</v>
      </c>
    </row>
    <row r="15" spans="1:10" ht="12">
      <c r="A15" s="117" t="s">
        <v>11</v>
      </c>
      <c r="B15" s="119">
        <v>6000</v>
      </c>
      <c r="C15" s="41">
        <v>1</v>
      </c>
      <c r="D15" s="119">
        <f t="shared" si="0"/>
        <v>6000</v>
      </c>
      <c r="E15" s="119">
        <v>6000</v>
      </c>
      <c r="F15" s="41">
        <v>1</v>
      </c>
      <c r="G15" s="119">
        <f t="shared" si="1"/>
        <v>6000</v>
      </c>
      <c r="H15" s="119">
        <v>6000</v>
      </c>
      <c r="I15" s="41">
        <v>1</v>
      </c>
      <c r="J15" s="119">
        <f t="shared" si="2"/>
        <v>6000</v>
      </c>
    </row>
    <row r="16" spans="1:10" ht="12">
      <c r="A16" s="117" t="s">
        <v>12</v>
      </c>
      <c r="B16" s="119"/>
      <c r="C16" s="41">
        <v>2</v>
      </c>
      <c r="D16" s="119">
        <f t="shared" si="0"/>
        <v>0</v>
      </c>
      <c r="E16" s="119">
        <v>7000</v>
      </c>
      <c r="F16" s="41">
        <v>2</v>
      </c>
      <c r="G16" s="119">
        <f t="shared" si="1"/>
        <v>14000</v>
      </c>
      <c r="H16" s="119">
        <v>7000</v>
      </c>
      <c r="I16" s="41">
        <v>2</v>
      </c>
      <c r="J16" s="119">
        <f t="shared" si="2"/>
        <v>14000</v>
      </c>
    </row>
    <row r="17" spans="1:10" ht="12">
      <c r="A17" s="117" t="s">
        <v>13</v>
      </c>
      <c r="B17" s="119">
        <v>5500</v>
      </c>
      <c r="C17" s="41">
        <v>4</v>
      </c>
      <c r="D17" s="119">
        <f t="shared" si="0"/>
        <v>22000</v>
      </c>
      <c r="E17" s="119">
        <v>6000</v>
      </c>
      <c r="F17" s="41">
        <v>4</v>
      </c>
      <c r="G17" s="119">
        <f t="shared" si="1"/>
        <v>24000</v>
      </c>
      <c r="H17" s="119">
        <v>6000</v>
      </c>
      <c r="I17" s="41">
        <v>4</v>
      </c>
      <c r="J17" s="119">
        <f t="shared" si="2"/>
        <v>24000</v>
      </c>
    </row>
    <row r="18" spans="1:10" ht="12">
      <c r="A18" s="117" t="s">
        <v>14</v>
      </c>
      <c r="B18" s="119">
        <v>3500</v>
      </c>
      <c r="C18" s="41">
        <v>10</v>
      </c>
      <c r="D18" s="119">
        <f t="shared" si="0"/>
        <v>35000</v>
      </c>
      <c r="E18" s="119">
        <v>3500</v>
      </c>
      <c r="F18" s="41">
        <v>10</v>
      </c>
      <c r="G18" s="119">
        <f t="shared" si="1"/>
        <v>35000</v>
      </c>
      <c r="H18" s="119">
        <v>3500</v>
      </c>
      <c r="I18" s="41">
        <v>10</v>
      </c>
      <c r="J18" s="119">
        <f t="shared" si="2"/>
        <v>35000</v>
      </c>
    </row>
    <row r="19" spans="1:10" ht="12">
      <c r="A19" s="117" t="s">
        <v>15</v>
      </c>
      <c r="B19" s="119">
        <v>2500</v>
      </c>
      <c r="C19" s="41">
        <v>30</v>
      </c>
      <c r="D19" s="119">
        <f t="shared" si="0"/>
        <v>75000</v>
      </c>
      <c r="E19" s="119">
        <v>2500</v>
      </c>
      <c r="F19" s="41">
        <v>25</v>
      </c>
      <c r="G19" s="119">
        <f t="shared" si="1"/>
        <v>62500</v>
      </c>
      <c r="H19" s="119">
        <v>2500</v>
      </c>
      <c r="I19" s="41">
        <v>25</v>
      </c>
      <c r="J19" s="119">
        <f t="shared" si="2"/>
        <v>62500</v>
      </c>
    </row>
    <row r="20" spans="1:10" ht="12">
      <c r="A20" s="117" t="s">
        <v>16</v>
      </c>
      <c r="B20" s="119">
        <v>1500</v>
      </c>
      <c r="C20" s="41">
        <v>1</v>
      </c>
      <c r="D20" s="119">
        <f t="shared" si="0"/>
        <v>1500</v>
      </c>
      <c r="E20" s="119">
        <v>1750</v>
      </c>
      <c r="F20" s="41">
        <v>2</v>
      </c>
      <c r="G20" s="119">
        <f t="shared" si="1"/>
        <v>3500</v>
      </c>
      <c r="H20" s="119">
        <v>1750</v>
      </c>
      <c r="I20" s="41">
        <v>2</v>
      </c>
      <c r="J20" s="119">
        <f t="shared" si="2"/>
        <v>3500</v>
      </c>
    </row>
    <row r="21" spans="1:10" ht="12">
      <c r="A21" s="117" t="s">
        <v>17</v>
      </c>
      <c r="B21" s="119">
        <v>2000</v>
      </c>
      <c r="C21" s="41">
        <v>2</v>
      </c>
      <c r="D21" s="119">
        <f t="shared" si="0"/>
        <v>4000</v>
      </c>
      <c r="E21" s="119">
        <v>2000</v>
      </c>
      <c r="F21" s="41">
        <v>2</v>
      </c>
      <c r="G21" s="119">
        <f t="shared" si="1"/>
        <v>4000</v>
      </c>
      <c r="H21" s="119">
        <v>2000</v>
      </c>
      <c r="I21" s="41">
        <v>2</v>
      </c>
      <c r="J21" s="119">
        <f t="shared" si="2"/>
        <v>4000</v>
      </c>
    </row>
    <row r="22" spans="1:10" ht="12">
      <c r="A22" s="117" t="s">
        <v>18</v>
      </c>
      <c r="B22" s="119">
        <v>1500</v>
      </c>
      <c r="C22" s="41">
        <v>4</v>
      </c>
      <c r="D22" s="119">
        <f t="shared" si="0"/>
        <v>6000</v>
      </c>
      <c r="E22" s="119">
        <v>1500</v>
      </c>
      <c r="F22" s="41">
        <v>4</v>
      </c>
      <c r="G22" s="119">
        <f t="shared" si="1"/>
        <v>6000</v>
      </c>
      <c r="H22" s="119">
        <v>1500</v>
      </c>
      <c r="I22" s="41">
        <v>4</v>
      </c>
      <c r="J22" s="119">
        <f t="shared" si="2"/>
        <v>6000</v>
      </c>
    </row>
    <row r="23" spans="1:10" ht="12">
      <c r="A23" s="117" t="s">
        <v>19</v>
      </c>
      <c r="B23" s="119">
        <v>1000</v>
      </c>
      <c r="C23" s="41">
        <v>7</v>
      </c>
      <c r="D23" s="119">
        <f t="shared" si="0"/>
        <v>7000</v>
      </c>
      <c r="E23" s="119">
        <v>1500</v>
      </c>
      <c r="F23" s="41">
        <v>7</v>
      </c>
      <c r="G23" s="119">
        <f t="shared" si="1"/>
        <v>10500</v>
      </c>
      <c r="H23" s="119">
        <v>1500</v>
      </c>
      <c r="I23" s="41">
        <v>7</v>
      </c>
      <c r="J23" s="119">
        <f t="shared" si="2"/>
        <v>10500</v>
      </c>
    </row>
    <row r="24" spans="1:10" ht="12">
      <c r="A24" s="117" t="s">
        <v>75</v>
      </c>
      <c r="B24" s="119">
        <v>1000</v>
      </c>
      <c r="C24" s="41">
        <v>2</v>
      </c>
      <c r="D24" s="119">
        <f t="shared" si="0"/>
        <v>2000</v>
      </c>
      <c r="E24" s="119">
        <v>1500</v>
      </c>
      <c r="F24" s="41">
        <v>2</v>
      </c>
      <c r="G24" s="119">
        <f t="shared" si="1"/>
        <v>3000</v>
      </c>
      <c r="H24" s="119">
        <v>1500</v>
      </c>
      <c r="I24" s="41">
        <v>2</v>
      </c>
      <c r="J24" s="119">
        <f t="shared" si="2"/>
        <v>3000</v>
      </c>
    </row>
    <row r="25" spans="1:10" ht="12">
      <c r="A25" s="117" t="s">
        <v>57</v>
      </c>
      <c r="B25" s="119">
        <v>1000</v>
      </c>
      <c r="C25" s="41">
        <v>1</v>
      </c>
      <c r="D25" s="119">
        <f t="shared" si="0"/>
        <v>1000</v>
      </c>
      <c r="E25" s="119">
        <v>4000</v>
      </c>
      <c r="F25" s="41">
        <v>1</v>
      </c>
      <c r="G25" s="119">
        <f t="shared" si="1"/>
        <v>4000</v>
      </c>
      <c r="H25" s="119">
        <v>4000</v>
      </c>
      <c r="I25" s="41">
        <v>1</v>
      </c>
      <c r="J25" s="119">
        <f t="shared" si="2"/>
        <v>4000</v>
      </c>
    </row>
    <row r="26" spans="1:10" ht="12">
      <c r="A26" s="117" t="s">
        <v>20</v>
      </c>
      <c r="B26" s="119">
        <v>2500</v>
      </c>
      <c r="C26" s="41">
        <v>1</v>
      </c>
      <c r="D26" s="119">
        <f t="shared" si="0"/>
        <v>2500</v>
      </c>
      <c r="E26" s="119">
        <f>2500/0.75</f>
        <v>3333.3333333333335</v>
      </c>
      <c r="F26" s="41">
        <v>1</v>
      </c>
      <c r="G26" s="119">
        <f t="shared" si="1"/>
        <v>3333.3333333333335</v>
      </c>
      <c r="H26" s="119">
        <f>2500/0.75</f>
        <v>3333.3333333333335</v>
      </c>
      <c r="I26" s="41">
        <v>1</v>
      </c>
      <c r="J26" s="119">
        <f t="shared" si="2"/>
        <v>3333.3333333333335</v>
      </c>
    </row>
    <row r="27" spans="1:10" ht="12">
      <c r="A27" s="117" t="s">
        <v>76</v>
      </c>
      <c r="B27" s="119">
        <v>5000</v>
      </c>
      <c r="C27" s="41">
        <v>1</v>
      </c>
      <c r="D27" s="119">
        <f t="shared" si="0"/>
        <v>5000</v>
      </c>
      <c r="E27" s="119">
        <v>5000</v>
      </c>
      <c r="F27" s="41">
        <v>1</v>
      </c>
      <c r="G27" s="119">
        <f t="shared" si="1"/>
        <v>5000</v>
      </c>
      <c r="H27" s="119">
        <v>5000</v>
      </c>
      <c r="I27" s="41">
        <v>1</v>
      </c>
      <c r="J27" s="119">
        <f t="shared" si="2"/>
        <v>5000</v>
      </c>
    </row>
    <row r="28" spans="1:10" ht="12">
      <c r="A28" s="117" t="s">
        <v>21</v>
      </c>
      <c r="B28" s="119">
        <v>500</v>
      </c>
      <c r="C28" s="41">
        <v>1</v>
      </c>
      <c r="D28" s="119">
        <f t="shared" si="0"/>
        <v>500</v>
      </c>
      <c r="E28" s="119">
        <v>1000</v>
      </c>
      <c r="F28" s="41">
        <v>1</v>
      </c>
      <c r="G28" s="119">
        <f t="shared" si="1"/>
        <v>1000</v>
      </c>
      <c r="H28" s="119">
        <v>1000</v>
      </c>
      <c r="I28" s="41">
        <v>1</v>
      </c>
      <c r="J28" s="119">
        <f t="shared" si="2"/>
        <v>1000</v>
      </c>
    </row>
    <row r="29" spans="1:10" ht="12">
      <c r="A29" s="120" t="s">
        <v>22</v>
      </c>
      <c r="B29" s="119">
        <v>15</v>
      </c>
      <c r="C29" s="41">
        <f>95*31</f>
        <v>2945</v>
      </c>
      <c r="D29" s="119">
        <f t="shared" si="0"/>
        <v>44175</v>
      </c>
      <c r="E29" s="119">
        <f>15*31</f>
        <v>465</v>
      </c>
      <c r="F29" s="41">
        <v>100</v>
      </c>
      <c r="G29" s="119">
        <f>+E29*F29</f>
        <v>46500</v>
      </c>
      <c r="H29" s="119">
        <f>15*31</f>
        <v>465</v>
      </c>
      <c r="I29" s="41">
        <v>100</v>
      </c>
      <c r="J29" s="119">
        <f>+H29*I29</f>
        <v>46500</v>
      </c>
    </row>
    <row r="30" spans="1:10" ht="12">
      <c r="A30" s="117" t="s">
        <v>77</v>
      </c>
      <c r="B30" s="121">
        <v>2.5</v>
      </c>
      <c r="C30" s="41">
        <f>25*4*31</f>
        <v>3100</v>
      </c>
      <c r="D30" s="119">
        <f t="shared" si="0"/>
        <v>7750</v>
      </c>
      <c r="E30" s="119">
        <f>2.5*4*31</f>
        <v>310</v>
      </c>
      <c r="F30" s="41">
        <v>100</v>
      </c>
      <c r="G30" s="119">
        <f>+E30*F30</f>
        <v>31000</v>
      </c>
      <c r="H30" s="119">
        <f>2.5*4*31</f>
        <v>310</v>
      </c>
      <c r="I30" s="41">
        <v>100</v>
      </c>
      <c r="J30" s="119">
        <f>+H30*I30</f>
        <v>31000</v>
      </c>
    </row>
    <row r="31" spans="1:10" ht="12">
      <c r="A31" s="117" t="s">
        <v>23</v>
      </c>
      <c r="B31" s="119">
        <v>2000</v>
      </c>
      <c r="C31" s="41">
        <v>1</v>
      </c>
      <c r="D31" s="119">
        <f t="shared" si="0"/>
        <v>2000</v>
      </c>
      <c r="E31" s="119">
        <v>2000</v>
      </c>
      <c r="F31" s="41">
        <v>1</v>
      </c>
      <c r="G31" s="119">
        <f aca="true" t="shared" si="3" ref="G31:G46">E31*F31</f>
        <v>2000</v>
      </c>
      <c r="H31" s="119">
        <v>2000</v>
      </c>
      <c r="I31" s="41">
        <v>1</v>
      </c>
      <c r="J31" s="119">
        <f t="shared" si="2"/>
        <v>2000</v>
      </c>
    </row>
    <row r="32" spans="1:10" ht="12">
      <c r="A32" s="117" t="s">
        <v>58</v>
      </c>
      <c r="B32" s="119">
        <v>1000</v>
      </c>
      <c r="C32" s="41">
        <v>1</v>
      </c>
      <c r="D32" s="119">
        <f t="shared" si="0"/>
        <v>1000</v>
      </c>
      <c r="E32" s="119">
        <v>2000</v>
      </c>
      <c r="F32" s="41">
        <v>1</v>
      </c>
      <c r="G32" s="119">
        <f t="shared" si="3"/>
        <v>2000</v>
      </c>
      <c r="H32" s="119">
        <v>2000</v>
      </c>
      <c r="I32" s="41">
        <v>1</v>
      </c>
      <c r="J32" s="119">
        <f t="shared" si="2"/>
        <v>2000</v>
      </c>
    </row>
    <row r="33" spans="1:10" ht="12">
      <c r="A33" s="117" t="s">
        <v>25</v>
      </c>
      <c r="B33" s="119">
        <v>1400</v>
      </c>
      <c r="C33" s="41">
        <v>1</v>
      </c>
      <c r="D33" s="119">
        <f t="shared" si="0"/>
        <v>1400</v>
      </c>
      <c r="E33" s="119">
        <v>1400</v>
      </c>
      <c r="F33" s="41">
        <v>1</v>
      </c>
      <c r="G33" s="119">
        <f t="shared" si="3"/>
        <v>1400</v>
      </c>
      <c r="H33" s="119">
        <v>1400</v>
      </c>
      <c r="I33" s="41">
        <v>1</v>
      </c>
      <c r="J33" s="119">
        <f t="shared" si="2"/>
        <v>1400</v>
      </c>
    </row>
    <row r="34" spans="1:10" ht="12">
      <c r="A34" s="117" t="s">
        <v>165</v>
      </c>
      <c r="B34" s="119">
        <v>300</v>
      </c>
      <c r="C34" s="41">
        <v>1</v>
      </c>
      <c r="D34" s="119">
        <f t="shared" si="0"/>
        <v>300</v>
      </c>
      <c r="E34" s="119">
        <v>2500</v>
      </c>
      <c r="F34" s="41">
        <v>2</v>
      </c>
      <c r="G34" s="119">
        <f t="shared" si="3"/>
        <v>5000</v>
      </c>
      <c r="H34" s="119">
        <v>2500</v>
      </c>
      <c r="I34" s="41">
        <v>2</v>
      </c>
      <c r="J34" s="119">
        <f t="shared" si="2"/>
        <v>5000</v>
      </c>
    </row>
    <row r="35" spans="1:10" ht="12">
      <c r="A35" s="117" t="s">
        <v>27</v>
      </c>
      <c r="B35" s="119">
        <v>300</v>
      </c>
      <c r="C35" s="41">
        <v>1</v>
      </c>
      <c r="D35" s="119">
        <f t="shared" si="0"/>
        <v>300</v>
      </c>
      <c r="E35" s="119">
        <v>1000</v>
      </c>
      <c r="F35" s="41">
        <v>1.5</v>
      </c>
      <c r="G35" s="119">
        <f t="shared" si="3"/>
        <v>1500</v>
      </c>
      <c r="H35" s="119">
        <v>1000</v>
      </c>
      <c r="I35" s="41">
        <v>1.5</v>
      </c>
      <c r="J35" s="119">
        <f t="shared" si="2"/>
        <v>1500</v>
      </c>
    </row>
    <row r="36" spans="1:10" ht="12">
      <c r="A36" s="117" t="s">
        <v>28</v>
      </c>
      <c r="B36" s="119"/>
      <c r="C36" s="41"/>
      <c r="D36" s="119">
        <f t="shared" si="0"/>
        <v>0</v>
      </c>
      <c r="E36" s="119">
        <v>2500</v>
      </c>
      <c r="F36" s="41">
        <v>1</v>
      </c>
      <c r="G36" s="119">
        <f t="shared" si="3"/>
        <v>2500</v>
      </c>
      <c r="H36" s="119">
        <v>2500</v>
      </c>
      <c r="I36" s="41">
        <v>1</v>
      </c>
      <c r="J36" s="119">
        <f t="shared" si="2"/>
        <v>2500</v>
      </c>
    </row>
    <row r="37" spans="1:10" ht="12">
      <c r="A37" s="117" t="s">
        <v>29</v>
      </c>
      <c r="B37" s="119"/>
      <c r="C37" s="41">
        <v>1</v>
      </c>
      <c r="D37" s="119">
        <f t="shared" si="0"/>
        <v>0</v>
      </c>
      <c r="E37" s="119">
        <v>2000</v>
      </c>
      <c r="F37" s="41">
        <v>1</v>
      </c>
      <c r="G37" s="119">
        <f t="shared" si="3"/>
        <v>2000</v>
      </c>
      <c r="H37" s="119">
        <v>2000</v>
      </c>
      <c r="I37" s="41">
        <v>1</v>
      </c>
      <c r="J37" s="119">
        <f t="shared" si="2"/>
        <v>2000</v>
      </c>
    </row>
    <row r="38" spans="1:10" ht="12">
      <c r="A38" s="117" t="s">
        <v>30</v>
      </c>
      <c r="B38" s="119"/>
      <c r="C38" s="41">
        <v>1</v>
      </c>
      <c r="D38" s="119">
        <f t="shared" si="0"/>
        <v>0</v>
      </c>
      <c r="E38" s="119">
        <v>600</v>
      </c>
      <c r="F38" s="41">
        <v>1</v>
      </c>
      <c r="G38" s="119">
        <f t="shared" si="3"/>
        <v>600</v>
      </c>
      <c r="H38" s="119">
        <v>1000</v>
      </c>
      <c r="I38" s="41">
        <v>1</v>
      </c>
      <c r="J38" s="119">
        <f t="shared" si="2"/>
        <v>1000</v>
      </c>
    </row>
    <row r="39" spans="1:10" ht="12">
      <c r="A39" s="117" t="s">
        <v>78</v>
      </c>
      <c r="B39" s="119"/>
      <c r="C39" s="41">
        <v>1</v>
      </c>
      <c r="D39" s="119">
        <f t="shared" si="0"/>
        <v>0</v>
      </c>
      <c r="E39" s="119">
        <v>1000</v>
      </c>
      <c r="F39" s="41">
        <v>1</v>
      </c>
      <c r="G39" s="119">
        <f t="shared" si="3"/>
        <v>1000</v>
      </c>
      <c r="H39" s="119">
        <v>1000</v>
      </c>
      <c r="I39" s="41">
        <v>1</v>
      </c>
      <c r="J39" s="119">
        <f t="shared" si="2"/>
        <v>1000</v>
      </c>
    </row>
    <row r="40" spans="1:10" ht="12">
      <c r="A40" s="117" t="s">
        <v>41</v>
      </c>
      <c r="B40" s="119">
        <v>2000</v>
      </c>
      <c r="C40" s="41">
        <v>1</v>
      </c>
      <c r="D40" s="119">
        <f t="shared" si="0"/>
        <v>2000</v>
      </c>
      <c r="E40" s="119">
        <v>2000</v>
      </c>
      <c r="F40" s="41">
        <v>1</v>
      </c>
      <c r="G40" s="119">
        <f t="shared" si="3"/>
        <v>2000</v>
      </c>
      <c r="H40" s="119">
        <v>2000</v>
      </c>
      <c r="I40" s="41">
        <v>1</v>
      </c>
      <c r="J40" s="119">
        <f t="shared" si="2"/>
        <v>2000</v>
      </c>
    </row>
    <row r="41" spans="1:10" ht="12">
      <c r="A41" s="117" t="s">
        <v>59</v>
      </c>
      <c r="B41" s="119"/>
      <c r="C41" s="41">
        <v>1</v>
      </c>
      <c r="D41" s="119">
        <f t="shared" si="0"/>
        <v>0</v>
      </c>
      <c r="E41" s="119">
        <v>500</v>
      </c>
      <c r="F41" s="41">
        <v>1</v>
      </c>
      <c r="G41" s="119">
        <f t="shared" si="3"/>
        <v>500</v>
      </c>
      <c r="H41" s="119">
        <v>500</v>
      </c>
      <c r="I41" s="41">
        <v>1</v>
      </c>
      <c r="J41" s="119">
        <f t="shared" si="2"/>
        <v>500</v>
      </c>
    </row>
    <row r="42" spans="1:10" ht="12">
      <c r="A42" s="117" t="s">
        <v>60</v>
      </c>
      <c r="B42" s="119"/>
      <c r="C42" s="41">
        <v>1</v>
      </c>
      <c r="D42" s="119">
        <f t="shared" si="0"/>
        <v>0</v>
      </c>
      <c r="E42" s="119">
        <v>1000</v>
      </c>
      <c r="F42" s="41">
        <v>2</v>
      </c>
      <c r="G42" s="119">
        <f t="shared" si="3"/>
        <v>2000</v>
      </c>
      <c r="H42" s="119">
        <v>1000</v>
      </c>
      <c r="I42" s="41">
        <v>1</v>
      </c>
      <c r="J42" s="119">
        <f t="shared" si="2"/>
        <v>1000</v>
      </c>
    </row>
    <row r="43" spans="1:10" ht="12">
      <c r="A43" s="117" t="s">
        <v>61</v>
      </c>
      <c r="B43" s="119"/>
      <c r="C43" s="41"/>
      <c r="D43" s="119">
        <f t="shared" si="0"/>
        <v>0</v>
      </c>
      <c r="E43" s="119">
        <v>6000</v>
      </c>
      <c r="F43" s="41">
        <v>0.5</v>
      </c>
      <c r="G43" s="119">
        <f t="shared" si="3"/>
        <v>3000</v>
      </c>
      <c r="H43" s="119">
        <v>6000</v>
      </c>
      <c r="I43" s="41">
        <v>1</v>
      </c>
      <c r="J43" s="119">
        <f t="shared" si="2"/>
        <v>6000</v>
      </c>
    </row>
    <row r="44" spans="1:10" ht="12">
      <c r="A44" s="117" t="s">
        <v>62</v>
      </c>
      <c r="B44" s="119"/>
      <c r="C44" s="41"/>
      <c r="D44" s="119">
        <f t="shared" si="0"/>
        <v>0</v>
      </c>
      <c r="E44" s="119"/>
      <c r="F44" s="41"/>
      <c r="G44" s="119">
        <f t="shared" si="3"/>
        <v>0</v>
      </c>
      <c r="H44" s="119">
        <v>1000</v>
      </c>
      <c r="I44" s="41">
        <v>1</v>
      </c>
      <c r="J44" s="119">
        <f t="shared" si="2"/>
        <v>1000</v>
      </c>
    </row>
    <row r="45" spans="1:10" ht="12">
      <c r="A45" s="117" t="s">
        <v>63</v>
      </c>
      <c r="B45" s="119"/>
      <c r="C45" s="41"/>
      <c r="D45" s="119">
        <f t="shared" si="0"/>
        <v>0</v>
      </c>
      <c r="E45" s="119"/>
      <c r="F45" s="41"/>
      <c r="G45" s="119">
        <f t="shared" si="3"/>
        <v>0</v>
      </c>
      <c r="H45" s="119">
        <v>1000</v>
      </c>
      <c r="I45" s="41">
        <v>1</v>
      </c>
      <c r="J45" s="119">
        <f t="shared" si="2"/>
        <v>1000</v>
      </c>
    </row>
    <row r="46" spans="1:10" ht="12">
      <c r="A46" s="117" t="s">
        <v>64</v>
      </c>
      <c r="B46" s="119"/>
      <c r="C46" s="41"/>
      <c r="D46" s="119">
        <f t="shared" si="0"/>
        <v>0</v>
      </c>
      <c r="E46" s="119"/>
      <c r="F46" s="41"/>
      <c r="G46" s="119">
        <f t="shared" si="3"/>
        <v>0</v>
      </c>
      <c r="H46" s="119">
        <v>1000</v>
      </c>
      <c r="I46" s="41">
        <v>1</v>
      </c>
      <c r="J46" s="119">
        <f t="shared" si="2"/>
        <v>1000</v>
      </c>
    </row>
    <row r="47" spans="1:10" ht="12">
      <c r="A47" s="117"/>
      <c r="B47" s="119"/>
      <c r="C47" s="41"/>
      <c r="D47" s="119"/>
      <c r="E47" s="119"/>
      <c r="F47" s="41"/>
      <c r="G47" s="119"/>
      <c r="H47" s="119"/>
      <c r="I47" s="41"/>
      <c r="J47" s="119"/>
    </row>
    <row r="48" spans="1:10" ht="12">
      <c r="A48" s="117"/>
      <c r="B48" s="119"/>
      <c r="C48" s="41"/>
      <c r="D48" s="119"/>
      <c r="E48" s="119"/>
      <c r="F48" s="41"/>
      <c r="G48" s="119"/>
      <c r="H48" s="119"/>
      <c r="I48" s="41"/>
      <c r="J48" s="119"/>
    </row>
    <row r="49" spans="1:10" ht="12">
      <c r="A49" s="117"/>
      <c r="B49" s="119"/>
      <c r="C49" s="41"/>
      <c r="D49" s="119"/>
      <c r="E49" s="119"/>
      <c r="F49" s="41"/>
      <c r="G49" s="119"/>
      <c r="H49" s="119"/>
      <c r="I49" s="122"/>
      <c r="J49" s="119"/>
    </row>
    <row r="50" spans="1:10" ht="12">
      <c r="A50" s="117" t="s">
        <v>65</v>
      </c>
      <c r="B50" s="119"/>
      <c r="C50" s="41"/>
      <c r="D50" s="119">
        <f>SUM(D7:D48)</f>
        <v>245425</v>
      </c>
      <c r="E50" s="119"/>
      <c r="F50" s="41"/>
      <c r="G50" s="119">
        <f>SUM(G7:G48)</f>
        <v>314000</v>
      </c>
      <c r="H50" s="119"/>
      <c r="I50" s="122"/>
      <c r="J50" s="119">
        <f>SUM(J7:J48)</f>
        <v>319400</v>
      </c>
    </row>
    <row r="51" spans="1:10" ht="12">
      <c r="A51" s="117" t="s">
        <v>66</v>
      </c>
      <c r="B51" s="119"/>
      <c r="C51" s="41"/>
      <c r="D51" s="121">
        <f>+D50/100</f>
        <v>2454.25</v>
      </c>
      <c r="E51" s="121"/>
      <c r="F51" s="41"/>
      <c r="G51" s="121">
        <f>+G50/100</f>
        <v>3140</v>
      </c>
      <c r="H51" s="121"/>
      <c r="I51" s="121"/>
      <c r="J51" s="121">
        <f>+J50/100</f>
        <v>3194</v>
      </c>
    </row>
    <row r="52" spans="1:10" ht="12">
      <c r="A52" s="117" t="s">
        <v>67</v>
      </c>
      <c r="B52" s="119"/>
      <c r="C52" s="41"/>
      <c r="D52" s="121">
        <v>666</v>
      </c>
      <c r="E52" s="121"/>
      <c r="F52" s="121"/>
      <c r="G52" s="121">
        <v>666</v>
      </c>
      <c r="H52" s="121"/>
      <c r="I52" s="121"/>
      <c r="J52" s="121">
        <v>666</v>
      </c>
    </row>
    <row r="53" spans="1:10" ht="12">
      <c r="A53" s="117"/>
      <c r="B53" s="119"/>
      <c r="C53" s="41"/>
      <c r="D53" s="121"/>
      <c r="E53" s="121"/>
      <c r="F53" s="121"/>
      <c r="G53" s="121"/>
      <c r="H53" s="121"/>
      <c r="I53" s="121"/>
      <c r="J53" s="121"/>
    </row>
    <row r="54" spans="1:10" s="116" customFormat="1" ht="12">
      <c r="A54" s="156" t="s">
        <v>174</v>
      </c>
      <c r="B54" s="157"/>
      <c r="C54" s="28"/>
      <c r="D54" s="123">
        <f>+D51-D52</f>
        <v>1788.25</v>
      </c>
      <c r="E54" s="123"/>
      <c r="F54" s="123"/>
      <c r="G54" s="123">
        <f>+G51-G52</f>
        <v>2474</v>
      </c>
      <c r="H54" s="123"/>
      <c r="I54" s="123"/>
      <c r="J54" s="123">
        <f>+J51-J52</f>
        <v>2528</v>
      </c>
    </row>
    <row r="55" spans="1:10" ht="12">
      <c r="A55" s="184" t="s">
        <v>175</v>
      </c>
      <c r="B55" s="185"/>
      <c r="C55" s="119"/>
      <c r="D55" s="124">
        <f>D54/3*4</f>
        <v>2384.3333333333335</v>
      </c>
      <c r="E55" s="124"/>
      <c r="F55" s="125"/>
      <c r="G55" s="124">
        <f>G54/3*4</f>
        <v>3298.6666666666665</v>
      </c>
      <c r="H55" s="124"/>
      <c r="I55" s="125"/>
      <c r="J55" s="124">
        <f>J54/3*4</f>
        <v>3370.6666666666665</v>
      </c>
    </row>
    <row r="57" spans="6:34" ht="12">
      <c r="F57" s="21"/>
      <c r="I57" s="21"/>
      <c r="K57" s="21"/>
      <c r="L57" s="21"/>
      <c r="M57" s="21"/>
      <c r="N57" s="21"/>
      <c r="O57" s="21"/>
      <c r="P57" s="21"/>
      <c r="Q57" s="21"/>
      <c r="R57" s="21"/>
      <c r="S57" s="21"/>
      <c r="T57" s="21"/>
      <c r="U57" s="21"/>
      <c r="V57" s="21"/>
      <c r="W57" s="21"/>
      <c r="X57" s="21"/>
      <c r="Y57" s="21"/>
      <c r="Z57" s="21"/>
      <c r="AA57" s="21"/>
      <c r="AB57" s="21"/>
      <c r="AC57" s="21"/>
      <c r="AD57" s="21"/>
      <c r="AE57" s="21"/>
      <c r="AF57" s="21"/>
      <c r="AG57" s="21"/>
      <c r="AH57" s="21"/>
    </row>
  </sheetData>
  <mergeCells count="7">
    <mergeCell ref="A55:B55"/>
    <mergeCell ref="A3:J3"/>
    <mergeCell ref="A4:J4"/>
    <mergeCell ref="B5:D5"/>
    <mergeCell ref="E5:G5"/>
    <mergeCell ref="H5:J5"/>
    <mergeCell ref="A5:A6"/>
  </mergeCells>
  <printOptions/>
  <pageMargins left="0.7480314960629921" right="0.7480314960629921" top="0.17" bottom="0.4" header="0.5118110236220472" footer="0.5118110236220472"/>
  <pageSetup fitToHeight="1" fitToWidth="1" horizontalDpi="300" verticalDpi="300" orientation="landscape" scale="7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K17" sqref="K17"/>
    </sheetView>
  </sheetViews>
  <sheetFormatPr defaultColWidth="9.140625" defaultRowHeight="12.75"/>
  <cols>
    <col min="1" max="1" width="28.7109375" style="0" customWidth="1"/>
    <col min="2" max="2" width="14.00390625" style="0" customWidth="1"/>
    <col min="3" max="3" width="12.8515625" style="0" customWidth="1"/>
    <col min="4" max="4" width="17.28125" style="0" customWidth="1"/>
    <col min="5" max="5" width="11.57421875" style="0" bestFit="1" customWidth="1"/>
    <col min="6" max="6" width="13.7109375" style="0" bestFit="1" customWidth="1"/>
    <col min="8" max="8" width="11.57421875" style="0" bestFit="1" customWidth="1"/>
    <col min="9" max="9" width="10.140625" style="0" bestFit="1" customWidth="1"/>
  </cols>
  <sheetData>
    <row r="1" spans="1:10" ht="13.5" thickBot="1">
      <c r="A1" s="205" t="s">
        <v>126</v>
      </c>
      <c r="B1" s="263"/>
      <c r="C1" s="263"/>
      <c r="D1" s="264"/>
      <c r="E1" s="45"/>
      <c r="F1" s="45"/>
      <c r="G1" s="45"/>
      <c r="H1" s="45"/>
      <c r="I1" s="45"/>
      <c r="J1" s="45"/>
    </row>
    <row r="2" spans="1:10" s="44" customFormat="1" ht="13.5" thickBot="1">
      <c r="A2" s="17" t="s">
        <v>1</v>
      </c>
      <c r="B2" s="17"/>
      <c r="C2" s="17"/>
      <c r="D2" s="17"/>
      <c r="E2" s="46"/>
      <c r="F2" s="46"/>
      <c r="G2" s="46"/>
      <c r="H2" s="46"/>
      <c r="I2" s="46"/>
      <c r="J2" s="46"/>
    </row>
    <row r="3" spans="1:10" ht="13.5" thickBot="1">
      <c r="A3" s="209" t="s">
        <v>2</v>
      </c>
      <c r="B3" s="211" t="s">
        <v>102</v>
      </c>
      <c r="C3" s="212"/>
      <c r="D3" s="213"/>
      <c r="E3" s="47"/>
      <c r="F3" s="47"/>
      <c r="G3" s="47"/>
      <c r="H3" s="47"/>
      <c r="I3" s="47"/>
      <c r="J3" s="47"/>
    </row>
    <row r="4" spans="1:10" ht="13.5" thickBot="1">
      <c r="A4" s="238"/>
      <c r="B4" s="4" t="s">
        <v>3</v>
      </c>
      <c r="C4" s="48" t="s">
        <v>4</v>
      </c>
      <c r="D4" s="49" t="s">
        <v>5</v>
      </c>
      <c r="E4" s="50"/>
      <c r="F4" s="47"/>
      <c r="G4" s="47"/>
      <c r="H4" s="47"/>
      <c r="I4" s="47"/>
      <c r="J4" s="47"/>
    </row>
    <row r="5" spans="1:10" ht="12.75">
      <c r="A5" s="13" t="s">
        <v>88</v>
      </c>
      <c r="B5" s="74">
        <v>448872</v>
      </c>
      <c r="C5" s="52">
        <v>1</v>
      </c>
      <c r="D5" s="18">
        <f aca="true" t="shared" si="0" ref="D5:D15">B5*C5</f>
        <v>448872</v>
      </c>
      <c r="E5" s="51"/>
      <c r="F5" s="47"/>
      <c r="G5" s="47"/>
      <c r="H5" s="47"/>
      <c r="I5" s="47"/>
      <c r="J5" s="47"/>
    </row>
    <row r="6" spans="1:10" ht="12.75">
      <c r="A6" s="14" t="s">
        <v>89</v>
      </c>
      <c r="B6" s="19">
        <v>66322</v>
      </c>
      <c r="C6" s="53">
        <v>1</v>
      </c>
      <c r="D6" s="20">
        <f t="shared" si="0"/>
        <v>66322</v>
      </c>
      <c r="E6" s="51"/>
      <c r="F6" s="47"/>
      <c r="G6" s="47"/>
      <c r="H6" s="47"/>
      <c r="I6" s="47"/>
      <c r="J6" s="47"/>
    </row>
    <row r="7" spans="1:5" ht="12.75">
      <c r="A7" s="14" t="s">
        <v>103</v>
      </c>
      <c r="B7" s="19">
        <v>193555</v>
      </c>
      <c r="C7" s="53">
        <v>2</v>
      </c>
      <c r="D7" s="20">
        <f t="shared" si="0"/>
        <v>387110</v>
      </c>
      <c r="E7" s="51"/>
    </row>
    <row r="8" spans="1:5" ht="12.75">
      <c r="A8" s="14" t="s">
        <v>104</v>
      </c>
      <c r="B8" s="19">
        <v>132923</v>
      </c>
      <c r="C8" s="53">
        <v>2</v>
      </c>
      <c r="D8" s="20">
        <f t="shared" si="0"/>
        <v>265846</v>
      </c>
      <c r="E8" s="51"/>
    </row>
    <row r="9" spans="1:5" ht="12.75">
      <c r="A9" s="14" t="s">
        <v>105</v>
      </c>
      <c r="B9" s="19">
        <v>123462</v>
      </c>
      <c r="C9" s="53">
        <v>2</v>
      </c>
      <c r="D9" s="20">
        <f t="shared" si="0"/>
        <v>246924</v>
      </c>
      <c r="E9" s="51"/>
    </row>
    <row r="10" spans="1:5" ht="12.75">
      <c r="A10" s="14" t="s">
        <v>106</v>
      </c>
      <c r="B10" s="19">
        <v>111320</v>
      </c>
      <c r="C10" s="53">
        <v>2</v>
      </c>
      <c r="D10" s="20">
        <f t="shared" si="0"/>
        <v>222640</v>
      </c>
      <c r="E10" s="51"/>
    </row>
    <row r="11" spans="1:5" ht="12.75">
      <c r="A11" s="14" t="s">
        <v>90</v>
      </c>
      <c r="B11" s="19">
        <v>71960</v>
      </c>
      <c r="C11" s="53">
        <v>1</v>
      </c>
      <c r="D11" s="20">
        <f t="shared" si="0"/>
        <v>71960</v>
      </c>
      <c r="E11" s="51"/>
    </row>
    <row r="12" spans="1:5" ht="12.75">
      <c r="A12" s="57" t="s">
        <v>91</v>
      </c>
      <c r="B12" s="19"/>
      <c r="C12" s="53"/>
      <c r="D12" s="20"/>
      <c r="E12" s="51"/>
    </row>
    <row r="13" spans="1:5" ht="12.75">
      <c r="A13" s="14" t="s">
        <v>106</v>
      </c>
      <c r="B13" s="19">
        <v>123462</v>
      </c>
      <c r="C13" s="53">
        <v>2</v>
      </c>
      <c r="D13" s="20">
        <f t="shared" si="0"/>
        <v>246924</v>
      </c>
      <c r="E13" s="51"/>
    </row>
    <row r="14" spans="1:5" ht="12.75">
      <c r="A14" s="14" t="s">
        <v>107</v>
      </c>
      <c r="B14" s="19">
        <v>80647</v>
      </c>
      <c r="C14" s="53">
        <v>2</v>
      </c>
      <c r="D14" s="20">
        <f t="shared" si="0"/>
        <v>161294</v>
      </c>
      <c r="E14" s="51"/>
    </row>
    <row r="15" spans="1:5" ht="12.75">
      <c r="A15" s="14" t="s">
        <v>90</v>
      </c>
      <c r="B15" s="19">
        <v>71960</v>
      </c>
      <c r="C15" s="53">
        <v>2</v>
      </c>
      <c r="D15" s="20">
        <f t="shared" si="0"/>
        <v>143920</v>
      </c>
      <c r="E15" s="51"/>
    </row>
    <row r="16" spans="1:5" ht="12.75">
      <c r="A16" s="58" t="s">
        <v>65</v>
      </c>
      <c r="B16" s="42"/>
      <c r="C16" s="59"/>
      <c r="D16" s="103">
        <f>SUM(D5:D15)</f>
        <v>2261812</v>
      </c>
      <c r="E16" s="51"/>
    </row>
    <row r="17" spans="1:4" ht="12.75">
      <c r="A17" s="14" t="s">
        <v>108</v>
      </c>
      <c r="B17" s="8"/>
      <c r="C17" s="53"/>
      <c r="D17" s="20">
        <f>+D16*0.3</f>
        <v>678543.6</v>
      </c>
    </row>
    <row r="18" spans="1:4" ht="12.75">
      <c r="A18" s="14" t="s">
        <v>92</v>
      </c>
      <c r="B18" s="8"/>
      <c r="C18" s="53"/>
      <c r="D18" s="20">
        <v>1000000</v>
      </c>
    </row>
    <row r="19" spans="1:4" ht="12.75">
      <c r="A19" s="14" t="s">
        <v>164</v>
      </c>
      <c r="B19" s="8"/>
      <c r="C19" s="53"/>
      <c r="D19" s="20">
        <v>1000000</v>
      </c>
    </row>
    <row r="20" spans="1:4" ht="12.75">
      <c r="A20" s="14" t="s">
        <v>109</v>
      </c>
      <c r="B20" s="8"/>
      <c r="C20" s="53"/>
      <c r="D20" s="20">
        <v>34000</v>
      </c>
    </row>
    <row r="21" spans="1:4" ht="12.75">
      <c r="A21" s="58" t="s">
        <v>110</v>
      </c>
      <c r="B21" s="42"/>
      <c r="C21" s="59"/>
      <c r="D21" s="43">
        <f>SUM(D16:D20)</f>
        <v>4974355.6</v>
      </c>
    </row>
    <row r="22" spans="1:4" ht="13.5" thickBot="1">
      <c r="A22" s="15"/>
      <c r="B22" s="11"/>
      <c r="C22" s="56"/>
      <c r="D22" s="12"/>
    </row>
    <row r="23" spans="1:4" ht="12.75">
      <c r="A23" s="54"/>
      <c r="B23" s="21"/>
      <c r="C23" s="55"/>
      <c r="D23" s="21"/>
    </row>
    <row r="24" spans="1:4" ht="13.5" thickBot="1">
      <c r="A24" s="54"/>
      <c r="B24" s="21"/>
      <c r="C24" s="55"/>
      <c r="D24" s="21"/>
    </row>
    <row r="25" spans="1:5" ht="13.5" thickBot="1">
      <c r="A25" s="209" t="s">
        <v>2</v>
      </c>
      <c r="B25" s="211" t="s">
        <v>112</v>
      </c>
      <c r="C25" s="212"/>
      <c r="D25" s="213"/>
      <c r="E25" s="47"/>
    </row>
    <row r="26" spans="1:5" ht="13.5" thickBot="1">
      <c r="A26" s="238"/>
      <c r="B26" s="4" t="s">
        <v>3</v>
      </c>
      <c r="C26" s="48" t="s">
        <v>4</v>
      </c>
      <c r="D26" s="49" t="s">
        <v>5</v>
      </c>
      <c r="E26" s="50"/>
    </row>
    <row r="27" spans="1:5" ht="12.75">
      <c r="A27" s="13" t="s">
        <v>88</v>
      </c>
      <c r="B27" s="74">
        <v>448872</v>
      </c>
      <c r="C27" s="7">
        <v>0.35</v>
      </c>
      <c r="D27" s="18">
        <f aca="true" t="shared" si="1" ref="D27:D32">B27*C27</f>
        <v>157105.19999999998</v>
      </c>
      <c r="E27" s="51"/>
    </row>
    <row r="28" spans="1:5" ht="12.75">
      <c r="A28" s="14" t="s">
        <v>89</v>
      </c>
      <c r="B28" s="19"/>
      <c r="C28" s="53"/>
      <c r="D28" s="20">
        <f t="shared" si="1"/>
        <v>0</v>
      </c>
      <c r="E28" s="51"/>
    </row>
    <row r="29" spans="1:5" ht="12.75">
      <c r="A29" s="14" t="s">
        <v>103</v>
      </c>
      <c r="B29" s="19">
        <v>193555</v>
      </c>
      <c r="C29" s="53">
        <v>1</v>
      </c>
      <c r="D29" s="20">
        <f t="shared" si="1"/>
        <v>193555</v>
      </c>
      <c r="E29" s="51"/>
    </row>
    <row r="30" spans="1:5" ht="12.75">
      <c r="A30" s="14" t="s">
        <v>104</v>
      </c>
      <c r="B30" s="19">
        <v>132923</v>
      </c>
      <c r="C30" s="53">
        <v>2</v>
      </c>
      <c r="D30" s="20">
        <f t="shared" si="1"/>
        <v>265846</v>
      </c>
      <c r="E30" s="51"/>
    </row>
    <row r="31" spans="1:6" ht="12.75">
      <c r="A31" s="14" t="s">
        <v>105</v>
      </c>
      <c r="B31" s="19">
        <v>123462</v>
      </c>
      <c r="C31" s="53">
        <v>3</v>
      </c>
      <c r="D31" s="20">
        <f t="shared" si="1"/>
        <v>370386</v>
      </c>
      <c r="E31" s="51"/>
      <c r="F31" s="68"/>
    </row>
    <row r="32" spans="1:5" ht="12.75">
      <c r="A32" s="14" t="s">
        <v>106</v>
      </c>
      <c r="B32" s="19">
        <v>111320</v>
      </c>
      <c r="C32" s="53">
        <v>3</v>
      </c>
      <c r="D32" s="20">
        <f t="shared" si="1"/>
        <v>333960</v>
      </c>
      <c r="E32" s="51"/>
    </row>
    <row r="33" spans="1:5" ht="12.75">
      <c r="A33" s="14" t="s">
        <v>111</v>
      </c>
      <c r="B33" s="19">
        <v>111320</v>
      </c>
      <c r="C33" s="53">
        <v>6</v>
      </c>
      <c r="D33" s="20">
        <f>B33*C33</f>
        <v>667920</v>
      </c>
      <c r="E33" s="51"/>
    </row>
    <row r="34" spans="1:5" ht="12.75">
      <c r="A34" s="14" t="s">
        <v>90</v>
      </c>
      <c r="B34" s="19">
        <v>71960</v>
      </c>
      <c r="C34" s="53">
        <v>2</v>
      </c>
      <c r="D34" s="20">
        <f>B34*C34</f>
        <v>143920</v>
      </c>
      <c r="E34" s="51"/>
    </row>
    <row r="35" spans="1:4" ht="12.75">
      <c r="A35" s="58" t="s">
        <v>65</v>
      </c>
      <c r="B35" s="42"/>
      <c r="C35" s="59"/>
      <c r="D35" s="103">
        <f>SUM(D27:D33)</f>
        <v>1988772.2</v>
      </c>
    </row>
    <row r="36" spans="1:4" ht="12.75">
      <c r="A36" s="14" t="s">
        <v>108</v>
      </c>
      <c r="B36" s="8"/>
      <c r="C36" s="53"/>
      <c r="D36" s="20">
        <f>+D35*0.3</f>
        <v>596631.6599999999</v>
      </c>
    </row>
    <row r="37" spans="1:4" ht="12.75">
      <c r="A37" s="69" t="s">
        <v>144</v>
      </c>
      <c r="B37" s="8"/>
      <c r="C37" s="53"/>
      <c r="D37" s="20">
        <f>+(D35+D36)*0.3</f>
        <v>775621.1579999999</v>
      </c>
    </row>
    <row r="38" spans="1:4" ht="12.75">
      <c r="A38" s="14"/>
      <c r="B38" s="8"/>
      <c r="C38" s="53"/>
      <c r="D38" s="20"/>
    </row>
    <row r="39" spans="1:4" ht="12.75">
      <c r="A39" s="14"/>
      <c r="B39" s="8"/>
      <c r="C39" s="53"/>
      <c r="D39" s="10"/>
    </row>
    <row r="40" spans="1:4" ht="12.75">
      <c r="A40" s="14"/>
      <c r="B40" s="8"/>
      <c r="C40" s="53"/>
      <c r="D40" s="10"/>
    </row>
    <row r="41" spans="1:4" ht="12.75">
      <c r="A41" s="58" t="s">
        <v>113</v>
      </c>
      <c r="B41" s="42"/>
      <c r="C41" s="59"/>
      <c r="D41" s="43">
        <f>SUM(D35:D40)</f>
        <v>3361025.0179999997</v>
      </c>
    </row>
    <row r="42" spans="1:4" ht="13.5" thickBot="1">
      <c r="A42" s="63" t="s">
        <v>110</v>
      </c>
      <c r="B42" s="60"/>
      <c r="C42" s="61"/>
      <c r="D42" s="62">
        <f>+D41*9</f>
        <v>30249225.161999997</v>
      </c>
    </row>
    <row r="43" spans="1:4" ht="12.75">
      <c r="A43" s="70"/>
      <c r="B43" s="71"/>
      <c r="C43" s="72"/>
      <c r="D43" s="71"/>
    </row>
    <row r="44" spans="1:4" ht="12.75">
      <c r="A44" s="70"/>
      <c r="B44" s="71"/>
      <c r="C44" s="72"/>
      <c r="D44" s="71"/>
    </row>
  </sheetData>
  <mergeCells count="5">
    <mergeCell ref="A3:A4"/>
    <mergeCell ref="B3:D3"/>
    <mergeCell ref="A1:D1"/>
    <mergeCell ref="A25:A26"/>
    <mergeCell ref="B25:D25"/>
  </mergeCells>
  <printOptions horizontalCentered="1"/>
  <pageMargins left="0.7480314960629921" right="0.7480314960629921" top="0.984251968503937" bottom="2.952755905511811" header="0.5118110236220472" footer="0.5118110236220472"/>
  <pageSetup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P45"/>
  <sheetViews>
    <sheetView tabSelected="1" workbookViewId="0" topLeftCell="A1">
      <selection activeCell="C15" sqref="C15"/>
    </sheetView>
  </sheetViews>
  <sheetFormatPr defaultColWidth="9.140625" defaultRowHeight="12.75"/>
  <cols>
    <col min="1" max="1" width="13.8515625" style="73" customWidth="1"/>
    <col min="2" max="3" width="11.7109375" style="73" customWidth="1"/>
    <col min="4" max="4" width="9.00390625" style="73" customWidth="1"/>
    <col min="5" max="10" width="11.7109375" style="73" customWidth="1"/>
    <col min="11" max="11" width="10.28125" style="73" bestFit="1" customWidth="1"/>
    <col min="12" max="12" width="10.28125" style="73" customWidth="1"/>
    <col min="13" max="16384" width="9.140625" style="73" customWidth="1"/>
  </cols>
  <sheetData>
    <row r="1" spans="1:10" ht="12">
      <c r="A1" s="190" t="s">
        <v>128</v>
      </c>
      <c r="B1" s="190"/>
      <c r="C1" s="190"/>
      <c r="D1" s="190"/>
      <c r="E1" s="190"/>
      <c r="F1" s="190"/>
      <c r="G1" s="190"/>
      <c r="H1" s="190"/>
      <c r="I1" s="190"/>
      <c r="J1" s="265"/>
    </row>
    <row r="2" ht="12.75" thickBot="1"/>
    <row r="3" spans="1:10" ht="24">
      <c r="A3" s="78"/>
      <c r="B3" s="79" t="s">
        <v>129</v>
      </c>
      <c r="C3" s="79" t="s">
        <v>130</v>
      </c>
      <c r="D3" s="79" t="s">
        <v>131</v>
      </c>
      <c r="E3" s="79" t="s">
        <v>132</v>
      </c>
      <c r="F3" s="79" t="s">
        <v>133</v>
      </c>
      <c r="G3" s="79" t="s">
        <v>134</v>
      </c>
      <c r="H3" s="79" t="s">
        <v>135</v>
      </c>
      <c r="I3" s="80" t="s">
        <v>136</v>
      </c>
      <c r="J3" s="80" t="s">
        <v>143</v>
      </c>
    </row>
    <row r="4" spans="1:10" ht="12">
      <c r="A4" s="82" t="s">
        <v>137</v>
      </c>
      <c r="B4" s="83"/>
      <c r="C4" s="83"/>
      <c r="D4" s="83"/>
      <c r="E4" s="83"/>
      <c r="F4" s="83"/>
      <c r="G4" s="83"/>
      <c r="H4" s="83"/>
      <c r="I4" s="84"/>
      <c r="J4" s="84"/>
    </row>
    <row r="5" spans="1:10" ht="12">
      <c r="A5" s="86" t="s">
        <v>95</v>
      </c>
      <c r="B5" s="87">
        <v>531276</v>
      </c>
      <c r="C5" s="87">
        <v>591095</v>
      </c>
      <c r="D5" s="88">
        <f>+(C5-B5)/B5</f>
        <v>0.11259496005842537</v>
      </c>
      <c r="E5" s="87">
        <f>+C5*(1+(D5*4/5))</f>
        <v>644338.4543325879</v>
      </c>
      <c r="F5" s="87">
        <f aca="true" t="shared" si="0" ref="F5:I13">+E5*(1+($D5/5))</f>
        <v>658848.3068385249</v>
      </c>
      <c r="G5" s="87">
        <f t="shared" si="0"/>
        <v>673684.9065971338</v>
      </c>
      <c r="H5" s="87">
        <f t="shared" si="0"/>
        <v>688855.6116271875</v>
      </c>
      <c r="I5" s="89">
        <f t="shared" si="0"/>
        <v>704367.9456426245</v>
      </c>
      <c r="J5" s="89">
        <f aca="true" t="shared" si="1" ref="J5:J13">+I5*(1+($D5/5))</f>
        <v>720229.6017838378</v>
      </c>
    </row>
    <row r="6" spans="1:10" ht="12">
      <c r="A6" s="86" t="s">
        <v>101</v>
      </c>
      <c r="B6" s="87">
        <v>178432</v>
      </c>
      <c r="C6" s="87">
        <v>197785</v>
      </c>
      <c r="D6" s="88">
        <f aca="true" t="shared" si="2" ref="D6:D13">+(C6-B6)/B6</f>
        <v>0.10846148672883787</v>
      </c>
      <c r="E6" s="87">
        <f aca="true" t="shared" si="3" ref="E6:E13">+C6*(1+(D6*4/5))</f>
        <v>214946.64412213053</v>
      </c>
      <c r="F6" s="87">
        <f t="shared" si="0"/>
        <v>219609.33063990268</v>
      </c>
      <c r="G6" s="87">
        <f t="shared" si="0"/>
        <v>224373.16154004843</v>
      </c>
      <c r="H6" s="87">
        <f t="shared" si="0"/>
        <v>229240.3308765851</v>
      </c>
      <c r="I6" s="89">
        <f t="shared" si="0"/>
        <v>234213.08029760214</v>
      </c>
      <c r="J6" s="89">
        <f t="shared" si="1"/>
        <v>239293.70007768588</v>
      </c>
    </row>
    <row r="7" spans="1:10" ht="12">
      <c r="A7" s="86" t="s">
        <v>93</v>
      </c>
      <c r="B7" s="87">
        <v>456847</v>
      </c>
      <c r="C7" s="87">
        <v>544524</v>
      </c>
      <c r="D7" s="88">
        <f t="shared" si="2"/>
        <v>0.19191764420035592</v>
      </c>
      <c r="E7" s="87">
        <f t="shared" si="3"/>
        <v>628127.0106324437</v>
      </c>
      <c r="F7" s="87">
        <f t="shared" si="0"/>
        <v>652236.7418602818</v>
      </c>
      <c r="G7" s="87">
        <f t="shared" si="0"/>
        <v>677271.88965203</v>
      </c>
      <c r="H7" s="87">
        <f t="shared" si="0"/>
        <v>703267.9747610581</v>
      </c>
      <c r="I7" s="89">
        <f t="shared" si="0"/>
        <v>730261.8813525976</v>
      </c>
      <c r="J7" s="89">
        <f t="shared" si="1"/>
        <v>758291.9093362996</v>
      </c>
    </row>
    <row r="8" spans="1:10" ht="12">
      <c r="A8" s="86" t="s">
        <v>99</v>
      </c>
      <c r="B8" s="87">
        <v>555044</v>
      </c>
      <c r="C8" s="87">
        <v>652457</v>
      </c>
      <c r="D8" s="88">
        <f t="shared" si="2"/>
        <v>0.17550500500861194</v>
      </c>
      <c r="E8" s="87">
        <f t="shared" si="3"/>
        <v>744064.5752423231</v>
      </c>
      <c r="F8" s="87">
        <f t="shared" si="0"/>
        <v>770181.98664325</v>
      </c>
      <c r="G8" s="87">
        <f t="shared" si="0"/>
        <v>797216.1453279232</v>
      </c>
      <c r="H8" s="87">
        <f t="shared" si="0"/>
        <v>825199.2300436678</v>
      </c>
      <c r="I8" s="89">
        <f t="shared" si="0"/>
        <v>854164.5490440511</v>
      </c>
      <c r="J8" s="89">
        <f t="shared" si="1"/>
        <v>884146.579735682</v>
      </c>
    </row>
    <row r="9" spans="1:10" ht="12">
      <c r="A9" s="86" t="s">
        <v>98</v>
      </c>
      <c r="B9" s="87">
        <v>351384</v>
      </c>
      <c r="C9" s="87">
        <v>408365</v>
      </c>
      <c r="D9" s="88">
        <f t="shared" si="2"/>
        <v>0.16216162375065454</v>
      </c>
      <c r="E9" s="87">
        <f t="shared" si="3"/>
        <v>461341.9051863488</v>
      </c>
      <c r="F9" s="87">
        <f t="shared" si="0"/>
        <v>476304.2956761966</v>
      </c>
      <c r="G9" s="87">
        <f t="shared" si="0"/>
        <v>491751.9512734493</v>
      </c>
      <c r="H9" s="87">
        <f t="shared" si="0"/>
        <v>507700.6102536603</v>
      </c>
      <c r="I9" s="89">
        <f t="shared" si="0"/>
        <v>524166.5213212466</v>
      </c>
      <c r="J9" s="89">
        <f t="shared" si="1"/>
        <v>541166.4601638836</v>
      </c>
    </row>
    <row r="10" spans="1:10" ht="12">
      <c r="A10" s="86" t="s">
        <v>100</v>
      </c>
      <c r="B10" s="87">
        <v>163494</v>
      </c>
      <c r="C10" s="87">
        <v>195996</v>
      </c>
      <c r="D10" s="88">
        <f t="shared" si="2"/>
        <v>0.1987962861022423</v>
      </c>
      <c r="E10" s="87">
        <f t="shared" si="3"/>
        <v>227166.62151271608</v>
      </c>
      <c r="F10" s="87">
        <f t="shared" si="0"/>
        <v>236198.5976493404</v>
      </c>
      <c r="G10" s="87">
        <f t="shared" si="0"/>
        <v>245589.67844838972</v>
      </c>
      <c r="H10" s="87">
        <f t="shared" si="0"/>
        <v>255354.14164450645</v>
      </c>
      <c r="I10" s="89">
        <f t="shared" si="0"/>
        <v>265506.8326444572</v>
      </c>
      <c r="J10" s="89">
        <f t="shared" si="1"/>
        <v>276063.1870973547</v>
      </c>
    </row>
    <row r="11" spans="1:12" ht="12">
      <c r="A11" s="86" t="s">
        <v>96</v>
      </c>
      <c r="B11" s="87">
        <v>224010</v>
      </c>
      <c r="C11" s="87">
        <v>269500</v>
      </c>
      <c r="D11" s="88">
        <f t="shared" si="2"/>
        <v>0.20307129146020267</v>
      </c>
      <c r="E11" s="87">
        <f t="shared" si="3"/>
        <v>313282.1704388197</v>
      </c>
      <c r="F11" s="87">
        <f t="shared" si="0"/>
        <v>326005.89342731296</v>
      </c>
      <c r="G11" s="87">
        <f t="shared" si="0"/>
        <v>339246.3809876973</v>
      </c>
      <c r="H11" s="87">
        <f t="shared" si="0"/>
        <v>353024.62112977164</v>
      </c>
      <c r="I11" s="89">
        <f t="shared" si="0"/>
        <v>367362.45427578595</v>
      </c>
      <c r="J11" s="89">
        <f t="shared" si="1"/>
        <v>382282.60788054066</v>
      </c>
      <c r="K11" s="104"/>
      <c r="L11" s="104"/>
    </row>
    <row r="12" spans="1:12" ht="12">
      <c r="A12" s="86" t="s">
        <v>97</v>
      </c>
      <c r="B12" s="87">
        <v>62771</v>
      </c>
      <c r="C12" s="87">
        <v>67800</v>
      </c>
      <c r="D12" s="88">
        <f t="shared" si="2"/>
        <v>0.08011661436013445</v>
      </c>
      <c r="E12" s="87">
        <f t="shared" si="3"/>
        <v>72145.5251628937</v>
      </c>
      <c r="F12" s="87">
        <f t="shared" si="0"/>
        <v>73301.53620635068</v>
      </c>
      <c r="G12" s="87">
        <f t="shared" si="0"/>
        <v>74476.07038800059</v>
      </c>
      <c r="H12" s="87">
        <f t="shared" si="0"/>
        <v>75669.42451006731</v>
      </c>
      <c r="I12" s="89">
        <f t="shared" si="0"/>
        <v>76881.90013053258</v>
      </c>
      <c r="J12" s="89">
        <f t="shared" si="1"/>
        <v>78113.80363933902</v>
      </c>
      <c r="K12" s="105"/>
      <c r="L12" s="105"/>
    </row>
    <row r="13" spans="1:10" ht="12.75" thickBot="1">
      <c r="A13" s="171" t="s">
        <v>94</v>
      </c>
      <c r="B13" s="172">
        <v>301942</v>
      </c>
      <c r="C13" s="172">
        <v>352984</v>
      </c>
      <c r="D13" s="173">
        <f t="shared" si="2"/>
        <v>0.16904571076564373</v>
      </c>
      <c r="E13" s="172">
        <f t="shared" si="3"/>
        <v>400720.34493511997</v>
      </c>
      <c r="F13" s="172">
        <f t="shared" si="0"/>
        <v>414268.35604068224</v>
      </c>
      <c r="G13" s="172">
        <f t="shared" si="0"/>
        <v>428274.41377960466</v>
      </c>
      <c r="H13" s="172">
        <f t="shared" si="0"/>
        <v>442754.0043156272</v>
      </c>
      <c r="I13" s="174">
        <f t="shared" si="0"/>
        <v>457723.13738640124</v>
      </c>
      <c r="J13" s="174">
        <f t="shared" si="1"/>
        <v>473198.3640050742</v>
      </c>
    </row>
    <row r="14" spans="1:10" ht="12.75" thickBot="1">
      <c r="A14" s="175" t="s">
        <v>138</v>
      </c>
      <c r="B14" s="176">
        <f>SUM(B5:B13)</f>
        <v>2825200</v>
      </c>
      <c r="C14" s="176">
        <f>SUM(C5:C13)</f>
        <v>3280506</v>
      </c>
      <c r="D14" s="177">
        <f>+(C14-B14)/B14</f>
        <v>0.16115885601019397</v>
      </c>
      <c r="E14" s="178">
        <f aca="true" t="shared" si="4" ref="E14:J14">SUM(E5:E13)</f>
        <v>3706133.2515653837</v>
      </c>
      <c r="F14" s="178">
        <f t="shared" si="4"/>
        <v>3826955.044981842</v>
      </c>
      <c r="G14" s="178">
        <f t="shared" si="4"/>
        <v>3951884.597994277</v>
      </c>
      <c r="H14" s="178">
        <f t="shared" si="4"/>
        <v>4081065.9491621316</v>
      </c>
      <c r="I14" s="179">
        <f t="shared" si="4"/>
        <v>4214648.302095299</v>
      </c>
      <c r="J14" s="179">
        <f t="shared" si="4"/>
        <v>4352786.213719697</v>
      </c>
    </row>
    <row r="16" spans="1:10" ht="12">
      <c r="A16" s="190" t="s">
        <v>155</v>
      </c>
      <c r="B16" s="190"/>
      <c r="C16" s="190"/>
      <c r="D16" s="190"/>
      <c r="E16" s="190"/>
      <c r="F16" s="190"/>
      <c r="G16" s="190"/>
      <c r="H16" s="190"/>
      <c r="I16" s="190"/>
      <c r="J16" s="265"/>
    </row>
    <row r="17" spans="1:10" ht="12.75" thickBot="1">
      <c r="A17" s="77"/>
      <c r="B17" s="77"/>
      <c r="C17" s="77"/>
      <c r="D17" s="77"/>
      <c r="E17" s="77"/>
      <c r="F17" s="77"/>
      <c r="G17" s="77"/>
      <c r="H17" s="77"/>
      <c r="I17" s="77"/>
      <c r="J17" s="77"/>
    </row>
    <row r="18" spans="1:16" ht="24">
      <c r="A18" s="78"/>
      <c r="B18" s="79" t="s">
        <v>129</v>
      </c>
      <c r="C18" s="79" t="s">
        <v>130</v>
      </c>
      <c r="D18" s="79"/>
      <c r="E18" s="79" t="s">
        <v>132</v>
      </c>
      <c r="F18" s="79" t="s">
        <v>133</v>
      </c>
      <c r="G18" s="79" t="s">
        <v>134</v>
      </c>
      <c r="H18" s="79" t="s">
        <v>135</v>
      </c>
      <c r="I18" s="80" t="s">
        <v>136</v>
      </c>
      <c r="J18" s="80" t="s">
        <v>143</v>
      </c>
      <c r="K18"/>
      <c r="L18"/>
      <c r="M18"/>
      <c r="N18"/>
      <c r="O18"/>
      <c r="P18"/>
    </row>
    <row r="19" spans="1:16" ht="12.75">
      <c r="A19" s="82" t="s">
        <v>137</v>
      </c>
      <c r="B19" s="83"/>
      <c r="C19" s="83"/>
      <c r="D19" s="83"/>
      <c r="E19" s="83"/>
      <c r="F19" s="83"/>
      <c r="G19" s="83"/>
      <c r="H19" s="83"/>
      <c r="I19" s="84"/>
      <c r="J19" s="84"/>
      <c r="K19"/>
      <c r="L19"/>
      <c r="M19"/>
      <c r="N19"/>
      <c r="O19"/>
      <c r="P19"/>
    </row>
    <row r="20" spans="1:16" ht="12.75">
      <c r="A20" s="86" t="s">
        <v>95</v>
      </c>
      <c r="B20" s="87">
        <f aca="true" t="shared" si="5" ref="B20:C28">+B5*0.8699</f>
        <v>462156.9924</v>
      </c>
      <c r="C20" s="87">
        <f t="shared" si="5"/>
        <v>514193.5405</v>
      </c>
      <c r="D20" s="88"/>
      <c r="E20" s="87">
        <f aca="true" t="shared" si="6" ref="E20:I28">+E5*0.8699</f>
        <v>560510.0214239182</v>
      </c>
      <c r="F20" s="87">
        <f t="shared" si="6"/>
        <v>573132.1421188328</v>
      </c>
      <c r="G20" s="87">
        <f t="shared" si="6"/>
        <v>586038.5002488467</v>
      </c>
      <c r="H20" s="87">
        <f t="shared" si="6"/>
        <v>599235.4965544904</v>
      </c>
      <c r="I20" s="89">
        <f t="shared" si="6"/>
        <v>612729.6759145191</v>
      </c>
      <c r="J20" s="89">
        <f aca="true" t="shared" si="7" ref="J20:J28">+J5*0.8699</f>
        <v>626527.7305917605</v>
      </c>
      <c r="K20"/>
      <c r="L20"/>
      <c r="M20"/>
      <c r="N20"/>
      <c r="O20"/>
      <c r="P20"/>
    </row>
    <row r="21" spans="1:16" ht="12.75">
      <c r="A21" s="86" t="s">
        <v>101</v>
      </c>
      <c r="B21" s="87">
        <f t="shared" si="5"/>
        <v>155217.9968</v>
      </c>
      <c r="C21" s="87">
        <f t="shared" si="5"/>
        <v>172053.1715</v>
      </c>
      <c r="D21" s="88"/>
      <c r="E21" s="87">
        <f t="shared" si="6"/>
        <v>186982.08572184134</v>
      </c>
      <c r="F21" s="87">
        <f t="shared" si="6"/>
        <v>191038.15672365134</v>
      </c>
      <c r="G21" s="87">
        <f t="shared" si="6"/>
        <v>195182.21322368813</v>
      </c>
      <c r="H21" s="87">
        <f t="shared" si="6"/>
        <v>199416.1638295414</v>
      </c>
      <c r="I21" s="89">
        <f t="shared" si="6"/>
        <v>203741.9585508841</v>
      </c>
      <c r="J21" s="89">
        <f t="shared" si="7"/>
        <v>208161.58969757895</v>
      </c>
      <c r="K21"/>
      <c r="L21"/>
      <c r="M21"/>
      <c r="N21"/>
      <c r="O21"/>
      <c r="P21"/>
    </row>
    <row r="22" spans="1:16" ht="12.75">
      <c r="A22" s="86" t="s">
        <v>93</v>
      </c>
      <c r="B22" s="87">
        <f t="shared" si="5"/>
        <v>397411.20530000003</v>
      </c>
      <c r="C22" s="87">
        <f t="shared" si="5"/>
        <v>473681.4276</v>
      </c>
      <c r="D22" s="88"/>
      <c r="E22" s="87">
        <f t="shared" si="6"/>
        <v>546407.6865491628</v>
      </c>
      <c r="F22" s="87">
        <f t="shared" si="6"/>
        <v>567380.7417442591</v>
      </c>
      <c r="G22" s="87">
        <f t="shared" si="6"/>
        <v>589158.8168083009</v>
      </c>
      <c r="H22" s="87">
        <f t="shared" si="6"/>
        <v>611772.8112446445</v>
      </c>
      <c r="I22" s="89">
        <f t="shared" si="6"/>
        <v>635254.8105886247</v>
      </c>
      <c r="J22" s="89">
        <f t="shared" si="7"/>
        <v>659638.1319316471</v>
      </c>
      <c r="K22"/>
      <c r="L22"/>
      <c r="M22"/>
      <c r="N22"/>
      <c r="O22"/>
      <c r="P22"/>
    </row>
    <row r="23" spans="1:16" ht="12.75">
      <c r="A23" s="86" t="s">
        <v>99</v>
      </c>
      <c r="B23" s="87">
        <f t="shared" si="5"/>
        <v>482832.7756</v>
      </c>
      <c r="C23" s="87">
        <f t="shared" si="5"/>
        <v>567572.3443</v>
      </c>
      <c r="D23" s="88"/>
      <c r="E23" s="87">
        <f t="shared" si="6"/>
        <v>647261.7740032969</v>
      </c>
      <c r="F23" s="87">
        <f t="shared" si="6"/>
        <v>669981.3101809631</v>
      </c>
      <c r="G23" s="87">
        <f t="shared" si="6"/>
        <v>693498.3248207604</v>
      </c>
      <c r="H23" s="87">
        <f t="shared" si="6"/>
        <v>717840.8102149867</v>
      </c>
      <c r="I23" s="89">
        <f t="shared" si="6"/>
        <v>743037.74121342</v>
      </c>
      <c r="J23" s="89">
        <f t="shared" si="7"/>
        <v>769119.1097120697</v>
      </c>
      <c r="K23"/>
      <c r="L23"/>
      <c r="M23"/>
      <c r="N23"/>
      <c r="O23"/>
      <c r="P23"/>
    </row>
    <row r="24" spans="1:16" ht="12.75">
      <c r="A24" s="86" t="s">
        <v>98</v>
      </c>
      <c r="B24" s="87">
        <f t="shared" si="5"/>
        <v>305668.9416</v>
      </c>
      <c r="C24" s="87">
        <f t="shared" si="5"/>
        <v>355236.7135</v>
      </c>
      <c r="D24" s="88"/>
      <c r="E24" s="87">
        <f t="shared" si="6"/>
        <v>401321.32332160487</v>
      </c>
      <c r="F24" s="87">
        <f t="shared" si="6"/>
        <v>414337.1068087234</v>
      </c>
      <c r="G24" s="87">
        <f t="shared" si="6"/>
        <v>427775.0224127735</v>
      </c>
      <c r="H24" s="87">
        <f t="shared" si="6"/>
        <v>441648.7608596591</v>
      </c>
      <c r="I24" s="89">
        <f t="shared" si="6"/>
        <v>455972.4568973524</v>
      </c>
      <c r="J24" s="89">
        <f t="shared" si="7"/>
        <v>470760.7036965624</v>
      </c>
      <c r="K24"/>
      <c r="L24"/>
      <c r="M24"/>
      <c r="N24"/>
      <c r="O24"/>
      <c r="P24"/>
    </row>
    <row r="25" spans="1:16" ht="12.75">
      <c r="A25" s="86" t="s">
        <v>100</v>
      </c>
      <c r="B25" s="87">
        <f t="shared" si="5"/>
        <v>142223.4306</v>
      </c>
      <c r="C25" s="87">
        <f t="shared" si="5"/>
        <v>170496.9204</v>
      </c>
      <c r="D25" s="88"/>
      <c r="E25" s="87">
        <f t="shared" si="6"/>
        <v>197612.2440539117</v>
      </c>
      <c r="F25" s="87">
        <f t="shared" si="6"/>
        <v>205469.1600951612</v>
      </c>
      <c r="G25" s="87">
        <f t="shared" si="6"/>
        <v>213638.46128225423</v>
      </c>
      <c r="H25" s="87">
        <f t="shared" si="6"/>
        <v>222132.56781655617</v>
      </c>
      <c r="I25" s="89">
        <f t="shared" si="6"/>
        <v>230964.3937174133</v>
      </c>
      <c r="J25" s="89">
        <f t="shared" si="7"/>
        <v>240147.36645598884</v>
      </c>
      <c r="K25"/>
      <c r="L25"/>
      <c r="M25"/>
      <c r="N25"/>
      <c r="O25"/>
      <c r="P25"/>
    </row>
    <row r="26" spans="1:16" ht="12.75">
      <c r="A26" s="86" t="s">
        <v>96</v>
      </c>
      <c r="B26" s="87">
        <f t="shared" si="5"/>
        <v>194866.299</v>
      </c>
      <c r="C26" s="87">
        <f t="shared" si="5"/>
        <v>234438.05</v>
      </c>
      <c r="D26" s="88"/>
      <c r="E26" s="87">
        <f t="shared" si="6"/>
        <v>272524.1600647292</v>
      </c>
      <c r="F26" s="87">
        <f t="shared" si="6"/>
        <v>283592.52669241955</v>
      </c>
      <c r="G26" s="87">
        <f t="shared" si="6"/>
        <v>295110.42682119785</v>
      </c>
      <c r="H26" s="87">
        <f t="shared" si="6"/>
        <v>307096.11792078835</v>
      </c>
      <c r="I26" s="89">
        <f t="shared" si="6"/>
        <v>319568.5989745062</v>
      </c>
      <c r="J26" s="89">
        <f t="shared" si="7"/>
        <v>332547.6405952823</v>
      </c>
      <c r="K26"/>
      <c r="L26"/>
      <c r="M26"/>
      <c r="N26"/>
      <c r="O26"/>
      <c r="P26"/>
    </row>
    <row r="27" spans="1:16" ht="12.75">
      <c r="A27" s="86" t="s">
        <v>97</v>
      </c>
      <c r="B27" s="87">
        <f t="shared" si="5"/>
        <v>54604.4929</v>
      </c>
      <c r="C27" s="87">
        <f t="shared" si="5"/>
        <v>58979.22</v>
      </c>
      <c r="D27" s="88"/>
      <c r="E27" s="87">
        <f t="shared" si="6"/>
        <v>62759.39233920123</v>
      </c>
      <c r="F27" s="87">
        <f t="shared" si="6"/>
        <v>63765.006345904454</v>
      </c>
      <c r="G27" s="87">
        <f t="shared" si="6"/>
        <v>64786.73363052171</v>
      </c>
      <c r="H27" s="87">
        <f t="shared" si="6"/>
        <v>65824.83238130755</v>
      </c>
      <c r="I27" s="89">
        <f t="shared" si="6"/>
        <v>66879.5649235503</v>
      </c>
      <c r="J27" s="89">
        <f t="shared" si="7"/>
        <v>67951.19778586102</v>
      </c>
      <c r="K27"/>
      <c r="L27"/>
      <c r="M27"/>
      <c r="N27"/>
      <c r="O27"/>
      <c r="P27"/>
    </row>
    <row r="28" spans="1:16" ht="13.5" thickBot="1">
      <c r="A28" s="171" t="s">
        <v>94</v>
      </c>
      <c r="B28" s="172">
        <f t="shared" si="5"/>
        <v>262659.3458</v>
      </c>
      <c r="C28" s="172">
        <f t="shared" si="5"/>
        <v>307060.7816</v>
      </c>
      <c r="D28" s="173"/>
      <c r="E28" s="172">
        <f t="shared" si="6"/>
        <v>348586.62805906084</v>
      </c>
      <c r="F28" s="172">
        <f t="shared" si="6"/>
        <v>360372.0429197895</v>
      </c>
      <c r="G28" s="172">
        <f t="shared" si="6"/>
        <v>372555.9125468781</v>
      </c>
      <c r="H28" s="172">
        <f t="shared" si="6"/>
        <v>385151.7083541641</v>
      </c>
      <c r="I28" s="174">
        <f t="shared" si="6"/>
        <v>398173.35721243045</v>
      </c>
      <c r="J28" s="174">
        <f t="shared" si="7"/>
        <v>411635.256848014</v>
      </c>
      <c r="K28"/>
      <c r="L28"/>
      <c r="M28"/>
      <c r="N28"/>
      <c r="O28"/>
      <c r="P28"/>
    </row>
    <row r="29" spans="1:16" ht="13.5" thickBot="1">
      <c r="A29" s="175" t="s">
        <v>138</v>
      </c>
      <c r="B29" s="176">
        <f>+B14*0.8699</f>
        <v>2457641.48</v>
      </c>
      <c r="C29" s="176">
        <f>+C14*0.8699</f>
        <v>2853712.1694</v>
      </c>
      <c r="D29" s="177"/>
      <c r="E29" s="176">
        <f aca="true" t="shared" si="8" ref="E29:J29">+E14*0.8699</f>
        <v>3223965.315536727</v>
      </c>
      <c r="F29" s="176">
        <f t="shared" si="8"/>
        <v>3329068.1936297044</v>
      </c>
      <c r="G29" s="176">
        <f t="shared" si="8"/>
        <v>3437744.4117952213</v>
      </c>
      <c r="H29" s="176">
        <f t="shared" si="8"/>
        <v>3550119.2691761386</v>
      </c>
      <c r="I29" s="180">
        <f t="shared" si="8"/>
        <v>3666322.5579927005</v>
      </c>
      <c r="J29" s="180">
        <f t="shared" si="8"/>
        <v>3786488.727314764</v>
      </c>
      <c r="K29"/>
      <c r="L29"/>
      <c r="M29"/>
      <c r="N29"/>
      <c r="O29"/>
      <c r="P29"/>
    </row>
    <row r="30" spans="5:16" ht="12.75">
      <c r="E30" s="106"/>
      <c r="F30" s="107"/>
      <c r="K30"/>
      <c r="L30"/>
      <c r="M30"/>
      <c r="N30"/>
      <c r="O30"/>
      <c r="P30"/>
    </row>
    <row r="31" spans="4:16" ht="12.75">
      <c r="D31" s="109"/>
      <c r="K31"/>
      <c r="L31"/>
      <c r="M31"/>
      <c r="N31"/>
      <c r="O31"/>
      <c r="P31"/>
    </row>
    <row r="32" spans="1:16" ht="12.75">
      <c r="A32" s="266" t="s">
        <v>203</v>
      </c>
      <c r="B32" s="190"/>
      <c r="C32" s="190"/>
      <c r="D32" s="190"/>
      <c r="E32" s="190"/>
      <c r="F32" s="190"/>
      <c r="G32" s="190"/>
      <c r="H32" s="190"/>
      <c r="I32" s="190"/>
      <c r="J32" s="190"/>
      <c r="K32"/>
      <c r="L32"/>
      <c r="M32"/>
      <c r="N32"/>
      <c r="O32"/>
      <c r="P32"/>
    </row>
    <row r="33" spans="1:10" ht="12.75" thickBot="1">
      <c r="A33" s="77"/>
      <c r="B33" s="77"/>
      <c r="C33" s="77"/>
      <c r="D33" s="77"/>
      <c r="E33" s="77"/>
      <c r="F33" s="77"/>
      <c r="G33" s="77"/>
      <c r="H33" s="77"/>
      <c r="I33" s="77"/>
      <c r="J33" s="77"/>
    </row>
    <row r="34" spans="1:10" ht="24">
      <c r="A34" s="78"/>
      <c r="B34" s="79" t="s">
        <v>129</v>
      </c>
      <c r="C34" s="79" t="s">
        <v>130</v>
      </c>
      <c r="D34" s="79"/>
      <c r="E34" s="79" t="s">
        <v>132</v>
      </c>
      <c r="F34" s="79" t="s">
        <v>133</v>
      </c>
      <c r="G34" s="79" t="s">
        <v>134</v>
      </c>
      <c r="H34" s="79" t="s">
        <v>135</v>
      </c>
      <c r="I34" s="80" t="s">
        <v>136</v>
      </c>
      <c r="J34" s="80" t="s">
        <v>136</v>
      </c>
    </row>
    <row r="35" spans="1:10" ht="12">
      <c r="A35" s="82" t="s">
        <v>137</v>
      </c>
      <c r="B35" s="83"/>
      <c r="C35" s="83"/>
      <c r="D35" s="83"/>
      <c r="E35" s="83"/>
      <c r="F35" s="83"/>
      <c r="G35" s="83"/>
      <c r="H35" s="83"/>
      <c r="I35" s="84"/>
      <c r="J35" s="84"/>
    </row>
    <row r="36" spans="1:10" ht="12">
      <c r="A36" s="86" t="s">
        <v>95</v>
      </c>
      <c r="B36" s="87">
        <f aca="true" t="shared" si="9" ref="B36:C44">+B5*0.02</f>
        <v>10625.52</v>
      </c>
      <c r="C36" s="87">
        <f t="shared" si="9"/>
        <v>11821.9</v>
      </c>
      <c r="D36" s="88"/>
      <c r="E36" s="87">
        <f aca="true" t="shared" si="10" ref="E36:J45">+E5*0.02</f>
        <v>12886.769086651759</v>
      </c>
      <c r="F36" s="87">
        <f t="shared" si="10"/>
        <v>13176.966136770498</v>
      </c>
      <c r="G36" s="87">
        <f t="shared" si="10"/>
        <v>13473.698131942678</v>
      </c>
      <c r="H36" s="87">
        <f t="shared" si="10"/>
        <v>13777.11223254375</v>
      </c>
      <c r="I36" s="89">
        <f t="shared" si="10"/>
        <v>14087.35891285249</v>
      </c>
      <c r="J36" s="89">
        <f t="shared" si="10"/>
        <v>14404.592035676756</v>
      </c>
    </row>
    <row r="37" spans="1:10" ht="12">
      <c r="A37" s="86" t="s">
        <v>101</v>
      </c>
      <c r="B37" s="87">
        <f t="shared" si="9"/>
        <v>3568.64</v>
      </c>
      <c r="C37" s="87">
        <f t="shared" si="9"/>
        <v>3955.7000000000003</v>
      </c>
      <c r="D37" s="88"/>
      <c r="E37" s="87">
        <f t="shared" si="10"/>
        <v>4298.93288244261</v>
      </c>
      <c r="F37" s="87">
        <f t="shared" si="10"/>
        <v>4392.186612798054</v>
      </c>
      <c r="G37" s="87">
        <f t="shared" si="10"/>
        <v>4487.463230800969</v>
      </c>
      <c r="H37" s="87">
        <f t="shared" si="10"/>
        <v>4584.806617531702</v>
      </c>
      <c r="I37" s="89">
        <f t="shared" si="10"/>
        <v>4684.261605952043</v>
      </c>
      <c r="J37" s="89">
        <f t="shared" si="10"/>
        <v>4785.874001553718</v>
      </c>
    </row>
    <row r="38" spans="1:10" ht="12">
      <c r="A38" s="86" t="s">
        <v>93</v>
      </c>
      <c r="B38" s="87">
        <f t="shared" si="9"/>
        <v>9136.94</v>
      </c>
      <c r="C38" s="87">
        <f t="shared" si="9"/>
        <v>10890.48</v>
      </c>
      <c r="D38" s="88"/>
      <c r="E38" s="87">
        <f t="shared" si="10"/>
        <v>12562.540212648875</v>
      </c>
      <c r="F38" s="87">
        <f t="shared" si="10"/>
        <v>13044.734837205637</v>
      </c>
      <c r="G38" s="87">
        <f t="shared" si="10"/>
        <v>13545.437793040599</v>
      </c>
      <c r="H38" s="87">
        <f t="shared" si="10"/>
        <v>14065.359495221162</v>
      </c>
      <c r="I38" s="89">
        <f t="shared" si="10"/>
        <v>14605.237627051953</v>
      </c>
      <c r="J38" s="89">
        <f t="shared" si="10"/>
        <v>15165.838186725992</v>
      </c>
    </row>
    <row r="39" spans="1:10" ht="12">
      <c r="A39" s="86" t="s">
        <v>99</v>
      </c>
      <c r="B39" s="87">
        <f t="shared" si="9"/>
        <v>11100.880000000001</v>
      </c>
      <c r="C39" s="87">
        <f t="shared" si="9"/>
        <v>13049.14</v>
      </c>
      <c r="D39" s="88"/>
      <c r="E39" s="87">
        <f t="shared" si="10"/>
        <v>14881.291504846462</v>
      </c>
      <c r="F39" s="87">
        <f t="shared" si="10"/>
        <v>15403.639732865</v>
      </c>
      <c r="G39" s="87">
        <f t="shared" si="10"/>
        <v>15944.322906558466</v>
      </c>
      <c r="H39" s="87">
        <f t="shared" si="10"/>
        <v>16503.98460087336</v>
      </c>
      <c r="I39" s="89">
        <f t="shared" si="10"/>
        <v>17083.290980881022</v>
      </c>
      <c r="J39" s="89">
        <f t="shared" si="10"/>
        <v>17682.931594713642</v>
      </c>
    </row>
    <row r="40" spans="1:10" ht="12">
      <c r="A40" s="86" t="s">
        <v>98</v>
      </c>
      <c r="B40" s="87">
        <f t="shared" si="9"/>
        <v>7027.68</v>
      </c>
      <c r="C40" s="87">
        <f t="shared" si="9"/>
        <v>8167.3</v>
      </c>
      <c r="D40" s="88"/>
      <c r="E40" s="87">
        <f t="shared" si="10"/>
        <v>9226.838103726977</v>
      </c>
      <c r="F40" s="87">
        <f t="shared" si="10"/>
        <v>9526.085913523932</v>
      </c>
      <c r="G40" s="87">
        <f t="shared" si="10"/>
        <v>9835.039025468986</v>
      </c>
      <c r="H40" s="87">
        <f t="shared" si="10"/>
        <v>10154.012205073206</v>
      </c>
      <c r="I40" s="89">
        <f t="shared" si="10"/>
        <v>10483.330426424931</v>
      </c>
      <c r="J40" s="89">
        <f t="shared" si="10"/>
        <v>10823.329203277674</v>
      </c>
    </row>
    <row r="41" spans="1:10" ht="12">
      <c r="A41" s="86" t="s">
        <v>100</v>
      </c>
      <c r="B41" s="87">
        <f t="shared" si="9"/>
        <v>3269.88</v>
      </c>
      <c r="C41" s="87">
        <f t="shared" si="9"/>
        <v>3919.92</v>
      </c>
      <c r="D41" s="88"/>
      <c r="E41" s="87">
        <f t="shared" si="10"/>
        <v>4543.3324302543215</v>
      </c>
      <c r="F41" s="87">
        <f t="shared" si="10"/>
        <v>4723.971952986808</v>
      </c>
      <c r="G41" s="87">
        <f t="shared" si="10"/>
        <v>4911.793568967794</v>
      </c>
      <c r="H41" s="87">
        <f t="shared" si="10"/>
        <v>5107.082832890129</v>
      </c>
      <c r="I41" s="89">
        <f t="shared" si="10"/>
        <v>5310.136652889144</v>
      </c>
      <c r="J41" s="89">
        <f t="shared" si="10"/>
        <v>5521.263741947094</v>
      </c>
    </row>
    <row r="42" spans="1:10" ht="12">
      <c r="A42" s="86" t="s">
        <v>96</v>
      </c>
      <c r="B42" s="87">
        <f t="shared" si="9"/>
        <v>4480.2</v>
      </c>
      <c r="C42" s="87">
        <f t="shared" si="9"/>
        <v>5390</v>
      </c>
      <c r="D42" s="88"/>
      <c r="E42" s="87">
        <f t="shared" si="10"/>
        <v>6265.643408776394</v>
      </c>
      <c r="F42" s="87">
        <f t="shared" si="10"/>
        <v>6520.117868546259</v>
      </c>
      <c r="G42" s="87">
        <f t="shared" si="10"/>
        <v>6784.927619753946</v>
      </c>
      <c r="H42" s="87">
        <f t="shared" si="10"/>
        <v>7060.492422595433</v>
      </c>
      <c r="I42" s="89">
        <f t="shared" si="10"/>
        <v>7347.249085515719</v>
      </c>
      <c r="J42" s="89">
        <f t="shared" si="10"/>
        <v>7645.652157610813</v>
      </c>
    </row>
    <row r="43" spans="1:10" ht="12">
      <c r="A43" s="86" t="s">
        <v>97</v>
      </c>
      <c r="B43" s="87">
        <f t="shared" si="9"/>
        <v>1255.42</v>
      </c>
      <c r="C43" s="87">
        <f t="shared" si="9"/>
        <v>1356</v>
      </c>
      <c r="D43" s="88"/>
      <c r="E43" s="87">
        <f t="shared" si="10"/>
        <v>1442.9105032578739</v>
      </c>
      <c r="F43" s="87">
        <f t="shared" si="10"/>
        <v>1466.0307241270136</v>
      </c>
      <c r="G43" s="87">
        <f t="shared" si="10"/>
        <v>1489.521407760012</v>
      </c>
      <c r="H43" s="87">
        <f t="shared" si="10"/>
        <v>1513.3884902013463</v>
      </c>
      <c r="I43" s="89">
        <f t="shared" si="10"/>
        <v>1537.6380026106517</v>
      </c>
      <c r="J43" s="89">
        <f t="shared" si="10"/>
        <v>1562.2760727867806</v>
      </c>
    </row>
    <row r="44" spans="1:10" ht="12.75" thickBot="1">
      <c r="A44" s="171" t="s">
        <v>94</v>
      </c>
      <c r="B44" s="172">
        <f t="shared" si="9"/>
        <v>6038.84</v>
      </c>
      <c r="C44" s="172">
        <f t="shared" si="9"/>
        <v>7059.68</v>
      </c>
      <c r="D44" s="173"/>
      <c r="E44" s="172">
        <f t="shared" si="10"/>
        <v>8014.406898702399</v>
      </c>
      <c r="F44" s="172">
        <f t="shared" si="10"/>
        <v>8285.367120813646</v>
      </c>
      <c r="G44" s="172">
        <f t="shared" si="10"/>
        <v>8565.488275592093</v>
      </c>
      <c r="H44" s="172">
        <f t="shared" si="10"/>
        <v>8855.080086312544</v>
      </c>
      <c r="I44" s="174">
        <f t="shared" si="10"/>
        <v>9154.462747728025</v>
      </c>
      <c r="J44" s="174">
        <f t="shared" si="10"/>
        <v>9463.967280101484</v>
      </c>
    </row>
    <row r="45" spans="1:10" ht="12.75" thickBot="1">
      <c r="A45" s="175" t="s">
        <v>138</v>
      </c>
      <c r="B45" s="176">
        <f>+B14*0.02</f>
        <v>56504</v>
      </c>
      <c r="C45" s="176">
        <f>+C14*0.02</f>
        <v>65610.12</v>
      </c>
      <c r="D45" s="177"/>
      <c r="E45" s="176">
        <f t="shared" si="10"/>
        <v>74122.66503130768</v>
      </c>
      <c r="F45" s="176">
        <f t="shared" si="10"/>
        <v>76539.10089963685</v>
      </c>
      <c r="G45" s="176">
        <f t="shared" si="10"/>
        <v>79037.69195988553</v>
      </c>
      <c r="H45" s="176">
        <f t="shared" si="10"/>
        <v>81621.31898324263</v>
      </c>
      <c r="I45" s="180">
        <f t="shared" si="10"/>
        <v>84292.96604190598</v>
      </c>
      <c r="J45" s="180">
        <f t="shared" si="10"/>
        <v>87055.72427439394</v>
      </c>
    </row>
  </sheetData>
  <mergeCells count="3">
    <mergeCell ref="A16:J16"/>
    <mergeCell ref="A1:J1"/>
    <mergeCell ref="A32:J32"/>
  </mergeCells>
  <printOptions horizontalCentered="1"/>
  <pageMargins left="0.7480314960629921" right="0.2755905511811024" top="0.46" bottom="0.2362204724409449" header="0.65" footer="0.2362204724409449"/>
  <pageSetup horizontalDpi="600" verticalDpi="600" orientation="landscape" paperSize="9" scale="9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T72"/>
  <sheetViews>
    <sheetView zoomScale="75" zoomScaleNormal="75" workbookViewId="0" topLeftCell="I53">
      <selection activeCell="K1" sqref="K1:T71"/>
    </sheetView>
  </sheetViews>
  <sheetFormatPr defaultColWidth="9.140625" defaultRowHeight="12.75"/>
  <cols>
    <col min="1" max="1" width="15.7109375" style="0" customWidth="1"/>
    <col min="2" max="3" width="13.28125" style="0" customWidth="1"/>
    <col min="4" max="4" width="9.7109375" style="0" customWidth="1"/>
    <col min="5" max="6" width="14.28125" style="0" customWidth="1"/>
    <col min="7" max="7" width="14.8515625" style="0" customWidth="1"/>
    <col min="8" max="8" width="13.421875" style="0" customWidth="1"/>
    <col min="9" max="9" width="14.28125" style="0" customWidth="1"/>
    <col min="10" max="10" width="12.28125" style="0" customWidth="1"/>
    <col min="11" max="11" width="15.7109375" style="0" customWidth="1"/>
    <col min="12" max="13" width="13.28125" style="0" customWidth="1"/>
    <col min="14" max="14" width="8.7109375" style="0" customWidth="1"/>
    <col min="15" max="19" width="14.28125" style="0" customWidth="1"/>
    <col min="20" max="20" width="8.57421875" style="0" customWidth="1"/>
  </cols>
  <sheetData>
    <row r="1" spans="1:20" ht="12.75">
      <c r="A1" s="190" t="s">
        <v>154</v>
      </c>
      <c r="B1" s="190"/>
      <c r="C1" s="190"/>
      <c r="D1" s="190"/>
      <c r="E1" s="190"/>
      <c r="F1" s="190"/>
      <c r="G1" s="190"/>
      <c r="H1" s="190"/>
      <c r="I1" s="190"/>
      <c r="J1" s="73"/>
      <c r="K1" s="192" t="s">
        <v>155</v>
      </c>
      <c r="L1" s="192"/>
      <c r="M1" s="192"/>
      <c r="N1" s="192"/>
      <c r="O1" s="192"/>
      <c r="P1" s="192"/>
      <c r="Q1" s="192"/>
      <c r="R1" s="192"/>
      <c r="S1" s="192"/>
      <c r="T1" s="193"/>
    </row>
    <row r="2" spans="1:20" ht="13.5" thickBot="1">
      <c r="A2" s="73"/>
      <c r="B2" s="73"/>
      <c r="C2" s="73"/>
      <c r="D2" s="73"/>
      <c r="E2" s="73"/>
      <c r="F2" s="73"/>
      <c r="G2" s="73"/>
      <c r="H2" s="73"/>
      <c r="I2" s="73"/>
      <c r="J2" s="73"/>
      <c r="K2" s="77"/>
      <c r="L2" s="77"/>
      <c r="M2" s="77"/>
      <c r="N2" s="77"/>
      <c r="O2" s="77"/>
      <c r="P2" s="77"/>
      <c r="Q2" s="77"/>
      <c r="R2" s="77"/>
      <c r="S2" s="77"/>
      <c r="T2" s="77"/>
    </row>
    <row r="3" spans="1:19" ht="24">
      <c r="A3" s="78"/>
      <c r="B3" s="79" t="s">
        <v>129</v>
      </c>
      <c r="C3" s="79" t="s">
        <v>145</v>
      </c>
      <c r="D3" s="79" t="s">
        <v>131</v>
      </c>
      <c r="E3" s="79" t="s">
        <v>191</v>
      </c>
      <c r="F3" s="79" t="s">
        <v>192</v>
      </c>
      <c r="G3" s="79" t="s">
        <v>193</v>
      </c>
      <c r="H3" s="79" t="s">
        <v>194</v>
      </c>
      <c r="I3" s="79" t="s">
        <v>195</v>
      </c>
      <c r="K3" s="78"/>
      <c r="L3" s="79" t="s">
        <v>129</v>
      </c>
      <c r="M3" s="79" t="s">
        <v>130</v>
      </c>
      <c r="N3" s="79"/>
      <c r="O3" s="79" t="s">
        <v>191</v>
      </c>
      <c r="P3" s="79" t="s">
        <v>192</v>
      </c>
      <c r="Q3" s="79" t="s">
        <v>193</v>
      </c>
      <c r="R3" s="79" t="s">
        <v>194</v>
      </c>
      <c r="S3" s="79" t="s">
        <v>195</v>
      </c>
    </row>
    <row r="4" spans="1:19" ht="12.75">
      <c r="A4" s="82" t="s">
        <v>137</v>
      </c>
      <c r="B4" s="83"/>
      <c r="C4" s="83"/>
      <c r="D4" s="83"/>
      <c r="E4" s="83"/>
      <c r="F4" s="83"/>
      <c r="G4" s="83"/>
      <c r="H4" s="83"/>
      <c r="I4" s="83"/>
      <c r="K4" s="82" t="s">
        <v>137</v>
      </c>
      <c r="L4" s="83"/>
      <c r="M4" s="83"/>
      <c r="N4" s="83"/>
      <c r="O4" s="83"/>
      <c r="P4" s="83"/>
      <c r="Q4" s="83"/>
      <c r="R4" s="83"/>
      <c r="S4" s="83"/>
    </row>
    <row r="5" spans="1:19" ht="12.75">
      <c r="A5" s="86" t="s">
        <v>95</v>
      </c>
      <c r="B5" s="87">
        <v>531276</v>
      </c>
      <c r="C5" s="87">
        <v>591095</v>
      </c>
      <c r="D5" s="88">
        <f>+(C5-B5)/B5</f>
        <v>0.11259496005842537</v>
      </c>
      <c r="E5" s="87">
        <f>+C5*(1+(D5*4/5))</f>
        <v>644338.4543325879</v>
      </c>
      <c r="F5" s="87">
        <f aca="true" t="shared" si="0" ref="F5:I13">+E5*(1+($D5/5))</f>
        <v>658848.3068385249</v>
      </c>
      <c r="G5" s="87">
        <f t="shared" si="0"/>
        <v>673684.9065971338</v>
      </c>
      <c r="H5" s="87">
        <f t="shared" si="0"/>
        <v>688855.6116271875</v>
      </c>
      <c r="I5" s="87">
        <f t="shared" si="0"/>
        <v>704367.9456426245</v>
      </c>
      <c r="K5" s="86" t="s">
        <v>95</v>
      </c>
      <c r="L5" s="87">
        <f aca="true" t="shared" si="1" ref="L5:M13">+B5*0.8699</f>
        <v>462156.9924</v>
      </c>
      <c r="M5" s="87">
        <f t="shared" si="1"/>
        <v>514193.5405</v>
      </c>
      <c r="N5" s="88"/>
      <c r="O5" s="87">
        <f aca="true" t="shared" si="2" ref="O5:S13">+E5*0.8699</f>
        <v>560510.0214239182</v>
      </c>
      <c r="P5" s="87">
        <f t="shared" si="2"/>
        <v>573132.1421188328</v>
      </c>
      <c r="Q5" s="87">
        <f t="shared" si="2"/>
        <v>586038.5002488467</v>
      </c>
      <c r="R5" s="87">
        <f t="shared" si="2"/>
        <v>599235.4965544904</v>
      </c>
      <c r="S5" s="87">
        <f t="shared" si="2"/>
        <v>612729.6759145191</v>
      </c>
    </row>
    <row r="6" spans="1:19" ht="12.75">
      <c r="A6" s="86" t="s">
        <v>101</v>
      </c>
      <c r="B6" s="87">
        <v>178432</v>
      </c>
      <c r="C6" s="87">
        <v>197785</v>
      </c>
      <c r="D6" s="88">
        <f aca="true" t="shared" si="3" ref="D6:D13">+(C6-B6)/B6</f>
        <v>0.10846148672883787</v>
      </c>
      <c r="E6" s="87">
        <f aca="true" t="shared" si="4" ref="E6:E13">+C6*(1+(D6*4/5))</f>
        <v>214946.64412213053</v>
      </c>
      <c r="F6" s="87">
        <f t="shared" si="0"/>
        <v>219609.33063990268</v>
      </c>
      <c r="G6" s="87">
        <f t="shared" si="0"/>
        <v>224373.16154004843</v>
      </c>
      <c r="H6" s="87">
        <f t="shared" si="0"/>
        <v>229240.3308765851</v>
      </c>
      <c r="I6" s="87">
        <f t="shared" si="0"/>
        <v>234213.08029760214</v>
      </c>
      <c r="K6" s="86" t="s">
        <v>101</v>
      </c>
      <c r="L6" s="87">
        <f t="shared" si="1"/>
        <v>155217.9968</v>
      </c>
      <c r="M6" s="87">
        <f t="shared" si="1"/>
        <v>172053.1715</v>
      </c>
      <c r="N6" s="88"/>
      <c r="O6" s="87">
        <f t="shared" si="2"/>
        <v>186982.08572184134</v>
      </c>
      <c r="P6" s="87">
        <f t="shared" si="2"/>
        <v>191038.15672365134</v>
      </c>
      <c r="Q6" s="87">
        <f t="shared" si="2"/>
        <v>195182.21322368813</v>
      </c>
      <c r="R6" s="87">
        <f t="shared" si="2"/>
        <v>199416.1638295414</v>
      </c>
      <c r="S6" s="87">
        <f t="shared" si="2"/>
        <v>203741.9585508841</v>
      </c>
    </row>
    <row r="7" spans="1:19" ht="12.75">
      <c r="A7" s="86" t="s">
        <v>93</v>
      </c>
      <c r="B7" s="87">
        <v>456847</v>
      </c>
      <c r="C7" s="87">
        <v>544524</v>
      </c>
      <c r="D7" s="88">
        <f t="shared" si="3"/>
        <v>0.19191764420035592</v>
      </c>
      <c r="E7" s="87">
        <f t="shared" si="4"/>
        <v>628127.0106324437</v>
      </c>
      <c r="F7" s="87">
        <f t="shared" si="0"/>
        <v>652236.7418602818</v>
      </c>
      <c r="G7" s="87">
        <f t="shared" si="0"/>
        <v>677271.88965203</v>
      </c>
      <c r="H7" s="87">
        <f t="shared" si="0"/>
        <v>703267.9747610581</v>
      </c>
      <c r="I7" s="87">
        <f t="shared" si="0"/>
        <v>730261.8813525976</v>
      </c>
      <c r="K7" s="86" t="s">
        <v>93</v>
      </c>
      <c r="L7" s="87">
        <f t="shared" si="1"/>
        <v>397411.20530000003</v>
      </c>
      <c r="M7" s="87">
        <f t="shared" si="1"/>
        <v>473681.4276</v>
      </c>
      <c r="N7" s="88"/>
      <c r="O7" s="87">
        <f t="shared" si="2"/>
        <v>546407.6865491628</v>
      </c>
      <c r="P7" s="87">
        <f t="shared" si="2"/>
        <v>567380.7417442591</v>
      </c>
      <c r="Q7" s="87">
        <f t="shared" si="2"/>
        <v>589158.8168083009</v>
      </c>
      <c r="R7" s="87">
        <f t="shared" si="2"/>
        <v>611772.8112446445</v>
      </c>
      <c r="S7" s="87">
        <f t="shared" si="2"/>
        <v>635254.8105886247</v>
      </c>
    </row>
    <row r="8" spans="1:19" ht="12.75">
      <c r="A8" s="86" t="s">
        <v>99</v>
      </c>
      <c r="B8" s="87">
        <v>555044</v>
      </c>
      <c r="C8" s="87">
        <v>652457</v>
      </c>
      <c r="D8" s="88">
        <f t="shared" si="3"/>
        <v>0.17550500500861194</v>
      </c>
      <c r="E8" s="87">
        <f t="shared" si="4"/>
        <v>744064.5752423231</v>
      </c>
      <c r="F8" s="87">
        <f t="shared" si="0"/>
        <v>770181.98664325</v>
      </c>
      <c r="G8" s="87">
        <f t="shared" si="0"/>
        <v>797216.1453279232</v>
      </c>
      <c r="H8" s="87">
        <f t="shared" si="0"/>
        <v>825199.2300436678</v>
      </c>
      <c r="I8" s="87">
        <f t="shared" si="0"/>
        <v>854164.5490440511</v>
      </c>
      <c r="K8" s="86" t="s">
        <v>99</v>
      </c>
      <c r="L8" s="87">
        <f t="shared" si="1"/>
        <v>482832.7756</v>
      </c>
      <c r="M8" s="87">
        <f t="shared" si="1"/>
        <v>567572.3443</v>
      </c>
      <c r="N8" s="88"/>
      <c r="O8" s="87">
        <f t="shared" si="2"/>
        <v>647261.7740032969</v>
      </c>
      <c r="P8" s="87">
        <f t="shared" si="2"/>
        <v>669981.3101809631</v>
      </c>
      <c r="Q8" s="87">
        <f t="shared" si="2"/>
        <v>693498.3248207604</v>
      </c>
      <c r="R8" s="87">
        <f t="shared" si="2"/>
        <v>717840.8102149867</v>
      </c>
      <c r="S8" s="87">
        <f t="shared" si="2"/>
        <v>743037.74121342</v>
      </c>
    </row>
    <row r="9" spans="1:19" ht="12.75">
      <c r="A9" s="86" t="s">
        <v>98</v>
      </c>
      <c r="B9" s="87">
        <v>351384</v>
      </c>
      <c r="C9" s="87">
        <v>408365</v>
      </c>
      <c r="D9" s="88">
        <f t="shared" si="3"/>
        <v>0.16216162375065454</v>
      </c>
      <c r="E9" s="87">
        <f t="shared" si="4"/>
        <v>461341.9051863488</v>
      </c>
      <c r="F9" s="87">
        <f t="shared" si="0"/>
        <v>476304.2956761966</v>
      </c>
      <c r="G9" s="87">
        <f t="shared" si="0"/>
        <v>491751.9512734493</v>
      </c>
      <c r="H9" s="87">
        <f t="shared" si="0"/>
        <v>507700.6102536603</v>
      </c>
      <c r="I9" s="87">
        <f t="shared" si="0"/>
        <v>524166.5213212466</v>
      </c>
      <c r="K9" s="86" t="s">
        <v>98</v>
      </c>
      <c r="L9" s="87">
        <f t="shared" si="1"/>
        <v>305668.9416</v>
      </c>
      <c r="M9" s="87">
        <f t="shared" si="1"/>
        <v>355236.7135</v>
      </c>
      <c r="N9" s="88"/>
      <c r="O9" s="87">
        <f t="shared" si="2"/>
        <v>401321.32332160487</v>
      </c>
      <c r="P9" s="87">
        <f t="shared" si="2"/>
        <v>414337.1068087234</v>
      </c>
      <c r="Q9" s="87">
        <f t="shared" si="2"/>
        <v>427775.0224127735</v>
      </c>
      <c r="R9" s="87">
        <f t="shared" si="2"/>
        <v>441648.7608596591</v>
      </c>
      <c r="S9" s="87">
        <f t="shared" si="2"/>
        <v>455972.4568973524</v>
      </c>
    </row>
    <row r="10" spans="1:19" ht="12.75">
      <c r="A10" s="86" t="s">
        <v>100</v>
      </c>
      <c r="B10" s="87">
        <v>163494</v>
      </c>
      <c r="C10" s="87">
        <v>195996</v>
      </c>
      <c r="D10" s="88">
        <f t="shared" si="3"/>
        <v>0.1987962861022423</v>
      </c>
      <c r="E10" s="87">
        <f t="shared" si="4"/>
        <v>227166.62151271608</v>
      </c>
      <c r="F10" s="87">
        <f t="shared" si="0"/>
        <v>236198.5976493404</v>
      </c>
      <c r="G10" s="87">
        <f t="shared" si="0"/>
        <v>245589.67844838972</v>
      </c>
      <c r="H10" s="87">
        <f t="shared" si="0"/>
        <v>255354.14164450645</v>
      </c>
      <c r="I10" s="87">
        <f t="shared" si="0"/>
        <v>265506.8326444572</v>
      </c>
      <c r="K10" s="86" t="s">
        <v>100</v>
      </c>
      <c r="L10" s="87">
        <f t="shared" si="1"/>
        <v>142223.4306</v>
      </c>
      <c r="M10" s="87">
        <f t="shared" si="1"/>
        <v>170496.9204</v>
      </c>
      <c r="N10" s="88"/>
      <c r="O10" s="87">
        <f t="shared" si="2"/>
        <v>197612.2440539117</v>
      </c>
      <c r="P10" s="87">
        <f t="shared" si="2"/>
        <v>205469.1600951612</v>
      </c>
      <c r="Q10" s="87">
        <f t="shared" si="2"/>
        <v>213638.46128225423</v>
      </c>
      <c r="R10" s="87">
        <f t="shared" si="2"/>
        <v>222132.56781655617</v>
      </c>
      <c r="S10" s="87">
        <f t="shared" si="2"/>
        <v>230964.3937174133</v>
      </c>
    </row>
    <row r="11" spans="1:19" ht="12.75">
      <c r="A11" s="86" t="s">
        <v>96</v>
      </c>
      <c r="B11" s="87">
        <v>224010</v>
      </c>
      <c r="C11" s="87">
        <v>269500</v>
      </c>
      <c r="D11" s="88">
        <f t="shared" si="3"/>
        <v>0.20307129146020267</v>
      </c>
      <c r="E11" s="87">
        <f t="shared" si="4"/>
        <v>313282.1704388197</v>
      </c>
      <c r="F11" s="87">
        <f t="shared" si="0"/>
        <v>326005.89342731296</v>
      </c>
      <c r="G11" s="87">
        <f t="shared" si="0"/>
        <v>339246.3809876973</v>
      </c>
      <c r="H11" s="87">
        <f t="shared" si="0"/>
        <v>353024.62112977164</v>
      </c>
      <c r="I11" s="87">
        <f t="shared" si="0"/>
        <v>367362.45427578595</v>
      </c>
      <c r="K11" s="86" t="s">
        <v>96</v>
      </c>
      <c r="L11" s="87">
        <f t="shared" si="1"/>
        <v>194866.299</v>
      </c>
      <c r="M11" s="87">
        <f t="shared" si="1"/>
        <v>234438.05</v>
      </c>
      <c r="N11" s="88"/>
      <c r="O11" s="87">
        <f t="shared" si="2"/>
        <v>272524.1600647292</v>
      </c>
      <c r="P11" s="87">
        <f t="shared" si="2"/>
        <v>283592.52669241955</v>
      </c>
      <c r="Q11" s="87">
        <f t="shared" si="2"/>
        <v>295110.42682119785</v>
      </c>
      <c r="R11" s="87">
        <f t="shared" si="2"/>
        <v>307096.11792078835</v>
      </c>
      <c r="S11" s="87">
        <f t="shared" si="2"/>
        <v>319568.5989745062</v>
      </c>
    </row>
    <row r="12" spans="1:19" ht="12.75">
      <c r="A12" s="86" t="s">
        <v>97</v>
      </c>
      <c r="B12" s="87">
        <v>62771</v>
      </c>
      <c r="C12" s="87">
        <v>67800</v>
      </c>
      <c r="D12" s="88">
        <f t="shared" si="3"/>
        <v>0.08011661436013445</v>
      </c>
      <c r="E12" s="87">
        <f t="shared" si="4"/>
        <v>72145.5251628937</v>
      </c>
      <c r="F12" s="87">
        <f t="shared" si="0"/>
        <v>73301.53620635068</v>
      </c>
      <c r="G12" s="87">
        <f t="shared" si="0"/>
        <v>74476.07038800059</v>
      </c>
      <c r="H12" s="87">
        <f t="shared" si="0"/>
        <v>75669.42451006731</v>
      </c>
      <c r="I12" s="87">
        <f t="shared" si="0"/>
        <v>76881.90013053258</v>
      </c>
      <c r="K12" s="86" t="s">
        <v>97</v>
      </c>
      <c r="L12" s="87">
        <f t="shared" si="1"/>
        <v>54604.4929</v>
      </c>
      <c r="M12" s="87">
        <f t="shared" si="1"/>
        <v>58979.22</v>
      </c>
      <c r="N12" s="88"/>
      <c r="O12" s="87">
        <f t="shared" si="2"/>
        <v>62759.39233920123</v>
      </c>
      <c r="P12" s="87">
        <f t="shared" si="2"/>
        <v>63765.006345904454</v>
      </c>
      <c r="Q12" s="87">
        <f t="shared" si="2"/>
        <v>64786.73363052171</v>
      </c>
      <c r="R12" s="87">
        <f t="shared" si="2"/>
        <v>65824.83238130755</v>
      </c>
      <c r="S12" s="87">
        <f t="shared" si="2"/>
        <v>66879.5649235503</v>
      </c>
    </row>
    <row r="13" spans="1:19" ht="12.75">
      <c r="A13" s="86" t="s">
        <v>94</v>
      </c>
      <c r="B13" s="87">
        <v>301942</v>
      </c>
      <c r="C13" s="87">
        <v>352984</v>
      </c>
      <c r="D13" s="88">
        <f t="shared" si="3"/>
        <v>0.16904571076564373</v>
      </c>
      <c r="E13" s="87">
        <f t="shared" si="4"/>
        <v>400720.34493511997</v>
      </c>
      <c r="F13" s="87">
        <f t="shared" si="0"/>
        <v>414268.35604068224</v>
      </c>
      <c r="G13" s="87">
        <f t="shared" si="0"/>
        <v>428274.41377960466</v>
      </c>
      <c r="H13" s="87">
        <f t="shared" si="0"/>
        <v>442754.0043156272</v>
      </c>
      <c r="I13" s="87">
        <f t="shared" si="0"/>
        <v>457723.13738640124</v>
      </c>
      <c r="K13" s="86" t="s">
        <v>94</v>
      </c>
      <c r="L13" s="87">
        <f t="shared" si="1"/>
        <v>262659.3458</v>
      </c>
      <c r="M13" s="87">
        <f t="shared" si="1"/>
        <v>307060.7816</v>
      </c>
      <c r="N13" s="88"/>
      <c r="O13" s="87">
        <f t="shared" si="2"/>
        <v>348586.62805906084</v>
      </c>
      <c r="P13" s="87">
        <f t="shared" si="2"/>
        <v>360372.0429197895</v>
      </c>
      <c r="Q13" s="87">
        <f t="shared" si="2"/>
        <v>372555.9125468781</v>
      </c>
      <c r="R13" s="87">
        <f t="shared" si="2"/>
        <v>385151.7083541641</v>
      </c>
      <c r="S13" s="87">
        <f t="shared" si="2"/>
        <v>398173.35721243045</v>
      </c>
    </row>
    <row r="14" spans="1:19" ht="12.75">
      <c r="A14" s="86"/>
      <c r="B14" s="87"/>
      <c r="C14" s="87"/>
      <c r="D14" s="83"/>
      <c r="E14" s="83"/>
      <c r="F14" s="83"/>
      <c r="G14" s="83"/>
      <c r="H14" s="83"/>
      <c r="I14" s="83"/>
      <c r="K14" s="86"/>
      <c r="L14" s="87"/>
      <c r="M14" s="87"/>
      <c r="N14" s="83"/>
      <c r="O14" s="87"/>
      <c r="P14" s="87"/>
      <c r="Q14" s="87"/>
      <c r="R14" s="87"/>
      <c r="S14" s="87"/>
    </row>
    <row r="15" spans="1:19" ht="13.5" thickBot="1">
      <c r="A15" s="91" t="s">
        <v>138</v>
      </c>
      <c r="B15" s="92">
        <f>SUM(B5:B14)</f>
        <v>2825200</v>
      </c>
      <c r="C15" s="92">
        <f>SUM(C5:C14)</f>
        <v>3280506</v>
      </c>
      <c r="D15" s="93">
        <f>+(C15-B15)/B15</f>
        <v>0.16115885601019397</v>
      </c>
      <c r="E15" s="94">
        <f>SUM(E5:E13)</f>
        <v>3706133.2515653837</v>
      </c>
      <c r="F15" s="94">
        <f>SUM(F5:F13)</f>
        <v>3826955.044981842</v>
      </c>
      <c r="G15" s="94">
        <f>SUM(G5:G13)</f>
        <v>3951884.597994277</v>
      </c>
      <c r="H15" s="94">
        <f>SUM(H5:H13)</f>
        <v>4081065.9491621316</v>
      </c>
      <c r="I15" s="94">
        <f>SUM(I5:I13)</f>
        <v>4214648.302095299</v>
      </c>
      <c r="K15" s="91" t="s">
        <v>138</v>
      </c>
      <c r="L15" s="92">
        <f>+B15*0.8699</f>
        <v>2457641.48</v>
      </c>
      <c r="M15" s="92">
        <f>+C15*0.8699</f>
        <v>2853712.1694</v>
      </c>
      <c r="N15" s="93"/>
      <c r="O15" s="92">
        <f>+E15*0.8699</f>
        <v>3223965.315536727</v>
      </c>
      <c r="P15" s="92">
        <f>+F15*0.8699</f>
        <v>3329068.1936297044</v>
      </c>
      <c r="Q15" s="92">
        <f>+G15*0.8699</f>
        <v>3437744.4117952213</v>
      </c>
      <c r="R15" s="92">
        <f>+H15*0.8699</f>
        <v>3550119.2691761386</v>
      </c>
      <c r="S15" s="92">
        <f>+I15*0.8699</f>
        <v>3666322.5579927005</v>
      </c>
    </row>
    <row r="16" spans="1:20" ht="12.75">
      <c r="A16" s="98" t="s">
        <v>200</v>
      </c>
      <c r="B16" s="90"/>
      <c r="C16" s="90"/>
      <c r="D16" s="99"/>
      <c r="E16" s="96"/>
      <c r="F16" s="96"/>
      <c r="G16" s="96"/>
      <c r="H16" s="96"/>
      <c r="I16" s="96"/>
      <c r="J16" s="96"/>
      <c r="K16" s="98" t="s">
        <v>200</v>
      </c>
      <c r="L16" s="90"/>
      <c r="M16" s="90"/>
      <c r="N16" s="99"/>
      <c r="O16" s="90"/>
      <c r="P16" s="90"/>
      <c r="Q16" s="90"/>
      <c r="R16" s="90"/>
      <c r="S16" s="90"/>
      <c r="T16" s="90"/>
    </row>
    <row r="17" spans="1:20" ht="12.75">
      <c r="A17" s="102"/>
      <c r="B17" s="90"/>
      <c r="C17" s="90"/>
      <c r="D17" s="99"/>
      <c r="E17" s="96"/>
      <c r="F17" s="96"/>
      <c r="G17" s="96"/>
      <c r="H17" s="96"/>
      <c r="I17" s="96"/>
      <c r="J17" s="96"/>
      <c r="K17" s="85"/>
      <c r="L17" s="90"/>
      <c r="M17" s="90"/>
      <c r="N17" s="99"/>
      <c r="O17" s="90"/>
      <c r="P17" s="90"/>
      <c r="Q17" s="90"/>
      <c r="R17" s="90"/>
      <c r="S17" s="90"/>
      <c r="T17" s="90"/>
    </row>
    <row r="18" spans="1:19" ht="12.75">
      <c r="A18" s="191" t="s">
        <v>150</v>
      </c>
      <c r="B18" s="191"/>
      <c r="C18" s="191"/>
      <c r="D18" s="191"/>
      <c r="E18" s="191"/>
      <c r="F18" s="153">
        <v>0.02</v>
      </c>
      <c r="G18" s="154" t="s">
        <v>201</v>
      </c>
      <c r="H18" s="155"/>
      <c r="I18" s="155"/>
      <c r="K18" s="191" t="s">
        <v>150</v>
      </c>
      <c r="L18" s="191"/>
      <c r="M18" s="191"/>
      <c r="N18" s="191"/>
      <c r="O18" s="191"/>
      <c r="P18" s="153">
        <v>0.02</v>
      </c>
      <c r="Q18" s="154" t="s">
        <v>201</v>
      </c>
      <c r="R18" s="155"/>
      <c r="S18" s="155"/>
    </row>
    <row r="19" spans="1:20" ht="13.5" thickBot="1">
      <c r="A19" s="73"/>
      <c r="B19" s="73"/>
      <c r="C19" s="73"/>
      <c r="D19" s="73"/>
      <c r="E19" s="73"/>
      <c r="F19" s="73"/>
      <c r="G19" s="73"/>
      <c r="H19" s="73"/>
      <c r="I19" s="73"/>
      <c r="J19" s="73"/>
      <c r="K19" s="73"/>
      <c r="L19" s="73"/>
      <c r="M19" s="73"/>
      <c r="N19" s="73"/>
      <c r="O19" s="73"/>
      <c r="P19" s="73"/>
      <c r="Q19" s="73"/>
      <c r="R19" s="73"/>
      <c r="S19" s="73"/>
      <c r="T19" s="73"/>
    </row>
    <row r="20" spans="1:19" ht="13.5" thickBot="1">
      <c r="A20" s="200" t="s">
        <v>140</v>
      </c>
      <c r="B20" s="201"/>
      <c r="C20" s="201"/>
      <c r="D20" s="201"/>
      <c r="E20" s="201"/>
      <c r="F20" s="201"/>
      <c r="G20" s="201"/>
      <c r="H20" s="201"/>
      <c r="I20" s="202"/>
      <c r="K20" s="194" t="s">
        <v>140</v>
      </c>
      <c r="L20" s="195"/>
      <c r="M20" s="195"/>
      <c r="N20" s="195"/>
      <c r="O20" s="195"/>
      <c r="P20" s="195"/>
      <c r="Q20" s="195"/>
      <c r="R20" s="195"/>
      <c r="S20" s="196"/>
    </row>
    <row r="21" spans="1:19" ht="13.5" thickBot="1">
      <c r="A21" s="197" t="s">
        <v>139</v>
      </c>
      <c r="B21" s="198"/>
      <c r="C21" s="198"/>
      <c r="D21" s="198"/>
      <c r="E21" s="198"/>
      <c r="F21" s="198"/>
      <c r="G21" s="198"/>
      <c r="H21" s="198"/>
      <c r="I21" s="199"/>
      <c r="K21" s="197" t="s">
        <v>156</v>
      </c>
      <c r="L21" s="198"/>
      <c r="M21" s="198"/>
      <c r="N21" s="198"/>
      <c r="O21" s="198"/>
      <c r="P21" s="198"/>
      <c r="Q21" s="198"/>
      <c r="R21" s="198"/>
      <c r="S21" s="199"/>
    </row>
    <row r="22" spans="1:19" ht="12.75">
      <c r="A22" s="78"/>
      <c r="B22" s="79" t="s">
        <v>129</v>
      </c>
      <c r="C22" s="79" t="s">
        <v>130</v>
      </c>
      <c r="D22" s="79"/>
      <c r="E22" s="79" t="s">
        <v>185</v>
      </c>
      <c r="F22" s="79" t="s">
        <v>181</v>
      </c>
      <c r="G22" s="79" t="s">
        <v>182</v>
      </c>
      <c r="H22" s="79" t="s">
        <v>183</v>
      </c>
      <c r="I22" s="79" t="s">
        <v>184</v>
      </c>
      <c r="K22" s="78"/>
      <c r="L22" s="79" t="s">
        <v>129</v>
      </c>
      <c r="M22" s="79" t="s">
        <v>130</v>
      </c>
      <c r="N22" s="79"/>
      <c r="O22" s="79" t="s">
        <v>185</v>
      </c>
      <c r="P22" s="79" t="s">
        <v>181</v>
      </c>
      <c r="Q22" s="79" t="s">
        <v>182</v>
      </c>
      <c r="R22" s="79" t="s">
        <v>183</v>
      </c>
      <c r="S22" s="79" t="s">
        <v>184</v>
      </c>
    </row>
    <row r="23" spans="1:19" ht="12.75">
      <c r="A23" s="82" t="s">
        <v>137</v>
      </c>
      <c r="B23" s="83"/>
      <c r="C23" s="83"/>
      <c r="D23" s="83"/>
      <c r="E23" s="83"/>
      <c r="F23" s="83"/>
      <c r="G23" s="83"/>
      <c r="H23" s="83"/>
      <c r="I23" s="83"/>
      <c r="K23" s="82" t="s">
        <v>137</v>
      </c>
      <c r="L23" s="83"/>
      <c r="M23" s="83"/>
      <c r="N23" s="83"/>
      <c r="O23" s="83"/>
      <c r="P23" s="83"/>
      <c r="Q23" s="83"/>
      <c r="R23" s="83"/>
      <c r="S23" s="83"/>
    </row>
    <row r="24" spans="1:19" ht="12.75">
      <c r="A24" s="86" t="s">
        <v>95</v>
      </c>
      <c r="B24" s="87"/>
      <c r="C24" s="87"/>
      <c r="D24" s="88"/>
      <c r="E24" s="87">
        <f>+(E5*$F$18)*'[1]Res Care Costing Model'!$D$54*12</f>
        <v>276537177.8304601</v>
      </c>
      <c r="F24" s="87">
        <f>+(F5*$F$18)*'[1]Res Care Costing Model'!$D$54*12</f>
        <v>282764516.3289581</v>
      </c>
      <c r="G24" s="87">
        <f>+(G5*$F$18)*'[1]Res Care Costing Model'!$D$54*12</f>
        <v>289132088.2133579</v>
      </c>
      <c r="H24" s="87">
        <f>+(H5*$F$18)*'[1]Res Care Costing Model'!$D$54*12</f>
        <v>295643051.39815634</v>
      </c>
      <c r="I24" s="87">
        <f>+(I5*$F$18)*'[1]Res Care Costing Model'!$D$54*12</f>
        <v>302300634.9109016</v>
      </c>
      <c r="K24" s="86" t="s">
        <v>95</v>
      </c>
      <c r="L24" s="87"/>
      <c r="M24" s="87"/>
      <c r="N24" s="88"/>
      <c r="O24" s="87">
        <f>+(O5*$F$18)*'[1]Res Care Costing Model'!$D$54*12</f>
        <v>240559690.99471718</v>
      </c>
      <c r="P24" s="87">
        <f>+(P5*$F$18)*'[1]Res Care Costing Model'!$D$54*12</f>
        <v>245976852.75456065</v>
      </c>
      <c r="Q24" s="87">
        <f>+(Q5*$F$18)*'[1]Res Care Costing Model'!$D$54*12</f>
        <v>251516003.53680003</v>
      </c>
      <c r="R24" s="87">
        <f>+(R5*$F$18)*'[1]Res Care Costing Model'!$D$54*12</f>
        <v>257179890.4112562</v>
      </c>
      <c r="S24" s="87">
        <f>+(S5*$F$18)*'[1]Res Care Costing Model'!$D$54*12</f>
        <v>262971322.30899334</v>
      </c>
    </row>
    <row r="25" spans="1:19" ht="12.75">
      <c r="A25" s="86" t="s">
        <v>101</v>
      </c>
      <c r="B25" s="87"/>
      <c r="C25" s="87"/>
      <c r="D25" s="88"/>
      <c r="E25" s="87">
        <f>+(E6*$F$18)*'[1]Res Care Costing Model'!$D$54*12</f>
        <v>92250800.72433597</v>
      </c>
      <c r="F25" s="87">
        <f>+(F6*$F$18)*'[1]Res Care Costing Model'!$D$54*12</f>
        <v>94251932.52403344</v>
      </c>
      <c r="G25" s="87">
        <f>+(G6*$F$18)*'[1]Res Care Costing Model'!$D$54*12</f>
        <v>96296473.46975797</v>
      </c>
      <c r="H25" s="87">
        <f>+(H6*$F$18)*'[1]Res Care Costing Model'!$D$54*12</f>
        <v>98385365.20561278</v>
      </c>
      <c r="I25" s="87">
        <f>+(I6*$F$18)*'[1]Res Care Costing Model'!$D$54*12</f>
        <v>100519569.8021249</v>
      </c>
      <c r="K25" s="86" t="s">
        <v>101</v>
      </c>
      <c r="L25" s="87"/>
      <c r="M25" s="87"/>
      <c r="N25" s="88"/>
      <c r="O25" s="87">
        <f>+(O6*$F$18)*'[1]Res Care Costing Model'!$D$54*12</f>
        <v>80248971.55009986</v>
      </c>
      <c r="P25" s="87">
        <f>+(P6*$F$18)*'[1]Res Care Costing Model'!$D$54*12</f>
        <v>81989756.10265668</v>
      </c>
      <c r="Q25" s="87">
        <f>+(Q6*$F$18)*'[1]Res Care Costing Model'!$D$54*12</f>
        <v>83768302.27134247</v>
      </c>
      <c r="R25" s="87">
        <f>+(R6*$F$18)*'[1]Res Care Costing Model'!$D$54*12</f>
        <v>85585429.19236258</v>
      </c>
      <c r="S25" s="87">
        <f>+(S6*$F$18)*'[1]Res Care Costing Model'!$D$54*12</f>
        <v>87441973.77086845</v>
      </c>
    </row>
    <row r="26" spans="1:19" ht="12.75">
      <c r="A26" s="86" t="s">
        <v>93</v>
      </c>
      <c r="B26" s="87"/>
      <c r="C26" s="87"/>
      <c r="D26" s="88"/>
      <c r="E26" s="87">
        <f>+(E7*$F$18)*'[1]Res Care Costing Model'!$D$54*12</f>
        <v>269579550.4232322</v>
      </c>
      <c r="F26" s="87">
        <f>+(F7*$F$18)*'[1]Res Care Costing Model'!$D$54*12</f>
        <v>279926964.87159574</v>
      </c>
      <c r="G26" s="87">
        <f>+(G7*$F$18)*'[1]Res Care Costing Model'!$D$54*12</f>
        <v>290671549.6008582</v>
      </c>
      <c r="H26" s="87">
        <f>+(H7*$F$18)*'[1]Res Care Costing Model'!$D$54*12</f>
        <v>301828549.40795094</v>
      </c>
      <c r="I26" s="87">
        <f>+(I7*$F$18)*'[1]Res Care Costing Model'!$D$54*12</f>
        <v>313413794.2389079</v>
      </c>
      <c r="K26" s="86" t="s">
        <v>93</v>
      </c>
      <c r="L26" s="87"/>
      <c r="M26" s="87"/>
      <c r="N26" s="88"/>
      <c r="O26" s="87">
        <f>+(O7*$F$18)*'[1]Res Care Costing Model'!$D$54*12</f>
        <v>234507250.9131697</v>
      </c>
      <c r="P26" s="87">
        <f>+(P7*$F$18)*'[1]Res Care Costing Model'!$D$54*12</f>
        <v>243508466.74180117</v>
      </c>
      <c r="Q26" s="87">
        <f>+(Q7*$F$18)*'[1]Res Care Costing Model'!$D$54*12</f>
        <v>252855180.99778658</v>
      </c>
      <c r="R26" s="87">
        <f>+(R7*$F$18)*'[1]Res Care Costing Model'!$D$54*12</f>
        <v>262560655.12997648</v>
      </c>
      <c r="S26" s="87">
        <f>+(S7*$F$18)*'[1]Res Care Costing Model'!$D$54*12</f>
        <v>272638659.608426</v>
      </c>
    </row>
    <row r="27" spans="1:19" ht="12.75">
      <c r="A27" s="86" t="s">
        <v>99</v>
      </c>
      <c r="B27" s="87"/>
      <c r="C27" s="87"/>
      <c r="D27" s="88"/>
      <c r="E27" s="87">
        <f>+(E8*$F$18)*'[1]Res Care Costing Model'!$D$54*12</f>
        <v>319337634.4025003</v>
      </c>
      <c r="F27" s="87">
        <f>+(F8*$F$18)*'[1]Res Care Costing Model'!$D$54*12</f>
        <v>330546705.02755004</v>
      </c>
      <c r="G27" s="87">
        <f>+(G8*$F$18)*'[1]Res Care Costing Model'!$D$54*12</f>
        <v>342149225.2518381</v>
      </c>
      <c r="H27" s="87">
        <f>+(H8*$F$18)*'[1]Res Care Costing Model'!$D$54*12</f>
        <v>354159005.5501414</v>
      </c>
      <c r="I27" s="87">
        <f>+(I8*$F$18)*'[1]Res Care Costing Model'!$D$54*12</f>
        <v>366590341.15872586</v>
      </c>
      <c r="K27" s="86" t="s">
        <v>99</v>
      </c>
      <c r="L27" s="87"/>
      <c r="M27" s="87"/>
      <c r="N27" s="88"/>
      <c r="O27" s="87">
        <f>+(O8*$F$18)*'[1]Res Care Costing Model'!$D$54*12</f>
        <v>277791808.16673493</v>
      </c>
      <c r="P27" s="87">
        <f>+(P8*$F$18)*'[1]Res Care Costing Model'!$D$54*12</f>
        <v>287542578.70346576</v>
      </c>
      <c r="Q27" s="87">
        <f>+(Q8*$F$18)*'[1]Res Care Costing Model'!$D$54*12</f>
        <v>297635611.04657394</v>
      </c>
      <c r="R27" s="87">
        <f>+(R8*$F$18)*'[1]Res Care Costing Model'!$D$54*12</f>
        <v>308082918.928068</v>
      </c>
      <c r="S27" s="87">
        <f>+(S8*$F$18)*'[1]Res Care Costing Model'!$D$54*12</f>
        <v>318896937.7739756</v>
      </c>
    </row>
    <row r="28" spans="1:19" ht="12.75">
      <c r="A28" s="86" t="s">
        <v>98</v>
      </c>
      <c r="B28" s="87"/>
      <c r="C28" s="87"/>
      <c r="D28" s="88"/>
      <c r="E28" s="87">
        <f>+(E9*$F$18)*'[1]Res Care Costing Model'!$D$54*12</f>
        <v>197998718.8678772</v>
      </c>
      <c r="F28" s="87">
        <f>+(F9*$F$18)*'[1]Res Care Costing Model'!$D$54*12</f>
        <v>204420277.61831003</v>
      </c>
      <c r="G28" s="87">
        <f>+(G9*$F$18)*'[1]Res Care Costing Model'!$D$54*12</f>
        <v>211050102.447539</v>
      </c>
      <c r="H28" s="87">
        <f>+(H9*$F$18)*'[1]Res Care Costing Model'!$D$54*12</f>
        <v>217894947.90866596</v>
      </c>
      <c r="I28" s="87">
        <f>+(I9*$F$18)*'[1]Res Care Costing Model'!$D$54*12</f>
        <v>224961787.62065262</v>
      </c>
      <c r="K28" s="86" t="s">
        <v>98</v>
      </c>
      <c r="L28" s="87"/>
      <c r="M28" s="87"/>
      <c r="N28" s="88"/>
      <c r="O28" s="87">
        <f>+(O9*$F$18)*'[1]Res Care Costing Model'!$D$54*12</f>
        <v>172239085.54316637</v>
      </c>
      <c r="P28" s="87">
        <f>+(P9*$F$18)*'[1]Res Care Costing Model'!$D$54*12</f>
        <v>177825199.50016794</v>
      </c>
      <c r="Q28" s="87">
        <f>+(Q9*$F$18)*'[1]Res Care Costing Model'!$D$54*12</f>
        <v>183592484.11911416</v>
      </c>
      <c r="R28" s="87">
        <f>+(R9*$F$18)*'[1]Res Care Costing Model'!$D$54*12</f>
        <v>189546815.18574852</v>
      </c>
      <c r="S28" s="87">
        <f>+(S9*$F$18)*'[1]Res Care Costing Model'!$D$54*12</f>
        <v>195694259.05120572</v>
      </c>
    </row>
    <row r="29" spans="1:19" ht="12.75">
      <c r="A29" s="86" t="s">
        <v>100</v>
      </c>
      <c r="B29" s="87"/>
      <c r="C29" s="87"/>
      <c r="D29" s="88"/>
      <c r="E29" s="87">
        <f>+(E10*$F$18)*'[1]Res Care Costing Model'!$D$54*12</f>
        <v>97495370.6208275</v>
      </c>
      <c r="F29" s="87">
        <f>+(F10*$F$18)*'[1]Res Care Costing Model'!$D$54*12</f>
        <v>101371714.13914391</v>
      </c>
      <c r="G29" s="87">
        <f>+(G10*$F$18)*'[1]Res Care Costing Model'!$D$54*12</f>
        <v>105402178.19647989</v>
      </c>
      <c r="H29" s="87">
        <f>+(H10*$F$18)*'[1]Res Care Costing Model'!$D$54*12</f>
        <v>109592890.51098928</v>
      </c>
      <c r="I29" s="87">
        <f>+(I10*$F$18)*'[1]Res Care Costing Model'!$D$54*12</f>
        <v>113950222.43434815</v>
      </c>
      <c r="K29" s="86" t="s">
        <v>100</v>
      </c>
      <c r="L29" s="87"/>
      <c r="M29" s="87"/>
      <c r="N29" s="88"/>
      <c r="O29" s="87">
        <f>+(O10*$F$18)*'[1]Res Care Costing Model'!$D$54*12</f>
        <v>84811222.90305783</v>
      </c>
      <c r="P29" s="87">
        <f>+(P10*$F$18)*'[1]Res Care Costing Model'!$D$54*12</f>
        <v>88183254.1296413</v>
      </c>
      <c r="Q29" s="87">
        <f>+(Q10*$F$18)*'[1]Res Care Costing Model'!$D$54*12</f>
        <v>91689354.81311786</v>
      </c>
      <c r="R29" s="87">
        <f>+(R10*$F$18)*'[1]Res Care Costing Model'!$D$54*12</f>
        <v>95334855.45550959</v>
      </c>
      <c r="S29" s="87">
        <f>+(S10*$F$18)*'[1]Res Care Costing Model'!$D$54*12</f>
        <v>99125298.49563944</v>
      </c>
    </row>
    <row r="30" spans="1:19" ht="12.75">
      <c r="A30" s="86" t="s">
        <v>96</v>
      </c>
      <c r="B30" s="87"/>
      <c r="C30" s="87"/>
      <c r="D30" s="88"/>
      <c r="E30" s="87">
        <f>+(E11*$F$18)*'[1]Res Care Costing Model'!$D$54*12</f>
        <v>134454441.90893263</v>
      </c>
      <c r="F30" s="87">
        <f>+(F11*$F$18)*'[1]Res Care Costing Model'!$D$54*12</f>
        <v>139915209.3411342</v>
      </c>
      <c r="G30" s="87">
        <f>+(G11*$F$18)*'[1]Res Care Costing Model'!$D$54*12</f>
        <v>145597761.79229993</v>
      </c>
      <c r="H30" s="87">
        <f>+(H11*$F$18)*'[1]Res Care Costing Model'!$D$54*12</f>
        <v>151511106.89647537</v>
      </c>
      <c r="I30" s="87">
        <f>+(I11*$F$18)*'[1]Res Care Costing Model'!$D$54*12</f>
        <v>157664618.12608182</v>
      </c>
      <c r="K30" s="86" t="s">
        <v>96</v>
      </c>
      <c r="L30" s="87"/>
      <c r="M30" s="87"/>
      <c r="N30" s="88"/>
      <c r="O30" s="87">
        <f>+(O11*$F$18)*'[1]Res Care Costing Model'!$D$54*12</f>
        <v>116961919.01658049</v>
      </c>
      <c r="P30" s="87">
        <f>+(P11*$F$18)*'[1]Res Care Costing Model'!$D$54*12</f>
        <v>121712240.60585263</v>
      </c>
      <c r="Q30" s="87">
        <f>+(Q11*$F$18)*'[1]Res Care Costing Model'!$D$54*12</f>
        <v>126655492.9831217</v>
      </c>
      <c r="R30" s="87">
        <f>+(R11*$F$18)*'[1]Res Care Costing Model'!$D$54*12</f>
        <v>131799511.88924393</v>
      </c>
      <c r="S30" s="87">
        <f>+(S11*$F$18)*'[1]Res Care Costing Model'!$D$54*12</f>
        <v>137152451.30787858</v>
      </c>
    </row>
    <row r="31" spans="1:19" ht="12.75">
      <c r="A31" s="86" t="s">
        <v>97</v>
      </c>
      <c r="B31" s="87"/>
      <c r="C31" s="87"/>
      <c r="D31" s="88"/>
      <c r="E31" s="87">
        <f>+(E12*$F$18)*'[1]Res Care Costing Model'!$D$54*12</f>
        <v>30963416.489410713</v>
      </c>
      <c r="F31" s="87">
        <f>+(F12*$F$18)*'[1]Res Care Costing Model'!$D$54*12</f>
        <v>31459553.309041582</v>
      </c>
      <c r="G31" s="87">
        <f>+(G12*$F$18)*'[1]Res Care Costing Model'!$D$54*12</f>
        <v>31963639.8891221</v>
      </c>
      <c r="H31" s="87">
        <f>+(H12*$F$18)*'[1]Res Care Costing Model'!$D$54*12</f>
        <v>32475803.61123069</v>
      </c>
      <c r="I31" s="87">
        <f>+(I12*$F$18)*'[1]Res Care Costing Model'!$D$54*12</f>
        <v>32996173.898021974</v>
      </c>
      <c r="K31" s="86" t="s">
        <v>97</v>
      </c>
      <c r="L31" s="87"/>
      <c r="M31" s="87"/>
      <c r="N31" s="88"/>
      <c r="O31" s="87">
        <f>+(O12*$F$18)*'[1]Res Care Costing Model'!$D$54*12</f>
        <v>26935076.004138384</v>
      </c>
      <c r="P31" s="87">
        <f>+(P12*$F$18)*'[1]Res Care Costing Model'!$D$54*12</f>
        <v>27366665.423535272</v>
      </c>
      <c r="Q31" s="87">
        <f>+(Q12*$F$18)*'[1]Res Care Costing Model'!$D$54*12</f>
        <v>27805170.33954731</v>
      </c>
      <c r="R31" s="87">
        <f>+(R12*$F$18)*'[1]Res Care Costing Model'!$D$54*12</f>
        <v>28250701.561409578</v>
      </c>
      <c r="S31" s="87">
        <f>+(S12*$F$18)*'[1]Res Care Costing Model'!$D$54*12</f>
        <v>28703371.673889317</v>
      </c>
    </row>
    <row r="32" spans="1:19" ht="12.75">
      <c r="A32" s="86" t="s">
        <v>94</v>
      </c>
      <c r="B32" s="87"/>
      <c r="C32" s="87"/>
      <c r="D32" s="88"/>
      <c r="E32" s="87">
        <f>+(E13*$F$18)*'[1]Res Care Costing Model'!$D$54*12</f>
        <v>171981157.6392548</v>
      </c>
      <c r="F32" s="87">
        <f>+(F13*$F$18)*'[1]Res Care Costing Model'!$D$54*12</f>
        <v>177795693.04554003</v>
      </c>
      <c r="G32" s="87">
        <f>+(G13*$F$18)*'[1]Res Care Costing Model'!$D$54*12</f>
        <v>183806812.90593076</v>
      </c>
      <c r="H32" s="87">
        <f>+(H13*$F$18)*'[1]Res Care Costing Model'!$D$54*12</f>
        <v>190021163.5721809</v>
      </c>
      <c r="I32" s="87">
        <f>+(I13*$F$18)*'[1]Res Care Costing Model'!$D$54*12</f>
        <v>196445616.10349566</v>
      </c>
      <c r="K32" s="86" t="s">
        <v>94</v>
      </c>
      <c r="L32" s="87"/>
      <c r="M32" s="87"/>
      <c r="N32" s="88"/>
      <c r="O32" s="87">
        <f>+(O13*$F$18)*'[1]Res Care Costing Model'!$D$54*12</f>
        <v>149606409.03038773</v>
      </c>
      <c r="P32" s="87">
        <f>+(P13*$F$18)*'[1]Res Care Costing Model'!$D$54*12</f>
        <v>154664473.38031524</v>
      </c>
      <c r="Q32" s="87">
        <f>+(Q13*$F$18)*'[1]Res Care Costing Model'!$D$54*12</f>
        <v>159893546.54686916</v>
      </c>
      <c r="R32" s="87">
        <f>+(R13*$F$18)*'[1]Res Care Costing Model'!$D$54*12</f>
        <v>165299410.19144017</v>
      </c>
      <c r="S32" s="87">
        <f>+(S13*$F$18)*'[1]Res Care Costing Model'!$D$54*12</f>
        <v>170888041.4484309</v>
      </c>
    </row>
    <row r="33" spans="1:19" ht="12.75">
      <c r="A33" s="86"/>
      <c r="B33" s="87"/>
      <c r="C33" s="87"/>
      <c r="D33" s="83"/>
      <c r="E33" s="87"/>
      <c r="F33" s="87"/>
      <c r="G33" s="87"/>
      <c r="H33" s="87"/>
      <c r="I33" s="87"/>
      <c r="K33" s="86"/>
      <c r="L33" s="87"/>
      <c r="M33" s="87"/>
      <c r="N33" s="83"/>
      <c r="O33" s="87"/>
      <c r="P33" s="87"/>
      <c r="Q33" s="87"/>
      <c r="R33" s="87"/>
      <c r="S33" s="87"/>
    </row>
    <row r="34" spans="1:19" ht="13.5" thickBot="1">
      <c r="A34" s="91" t="s">
        <v>138</v>
      </c>
      <c r="B34" s="92"/>
      <c r="C34" s="92"/>
      <c r="D34" s="93"/>
      <c r="E34" s="92">
        <f>+(E15*$F$18)*'[1]Res Care Costing Model'!$D$54*12</f>
        <v>1590598268.9068315</v>
      </c>
      <c r="F34" s="92">
        <f>+(F15*$F$18)*'[1]Res Care Costing Model'!$D$54*12</f>
        <v>1642452566.2053072</v>
      </c>
      <c r="G34" s="92">
        <f>+(G15*$F$18)*'[1]Res Care Costing Model'!$D$54*12</f>
        <v>1696069831.7671838</v>
      </c>
      <c r="H34" s="92">
        <f>+(H15*$F$18)*'[1]Res Care Costing Model'!$D$54*12</f>
        <v>1751511884.0614035</v>
      </c>
      <c r="I34" s="92">
        <f>+(I15*$F$18)*'[1]Res Care Costing Model'!$D$54*12</f>
        <v>1808842758.2932606</v>
      </c>
      <c r="K34" s="91" t="s">
        <v>138</v>
      </c>
      <c r="L34" s="92"/>
      <c r="M34" s="92"/>
      <c r="N34" s="93"/>
      <c r="O34" s="92">
        <f>+(O15*$F$18)*'[1]Res Care Costing Model'!$D$54*12</f>
        <v>1383661434.1220527</v>
      </c>
      <c r="P34" s="92">
        <f>+(P15*$F$18)*'[1]Res Care Costing Model'!$D$54*12</f>
        <v>1428769487.3419964</v>
      </c>
      <c r="Q34" s="92">
        <f>+(Q15*$F$18)*'[1]Res Care Costing Model'!$D$54*12</f>
        <v>1475411146.654273</v>
      </c>
      <c r="R34" s="92">
        <f>+(R15*$F$18)*'[1]Res Care Costing Model'!$D$54*12</f>
        <v>1523640187.9450154</v>
      </c>
      <c r="S34" s="92">
        <f>+(S15*$F$18)*'[1]Res Care Costing Model'!$D$54*12</f>
        <v>1573512315.4393072</v>
      </c>
    </row>
    <row r="35" spans="1:19" ht="12.75">
      <c r="A35" s="73"/>
      <c r="B35" s="73"/>
      <c r="C35" s="73"/>
      <c r="D35" s="73"/>
      <c r="E35" s="73"/>
      <c r="F35" s="101"/>
      <c r="G35" s="73"/>
      <c r="H35" s="73"/>
      <c r="I35" s="73"/>
      <c r="J35" s="73"/>
      <c r="K35" s="73"/>
      <c r="L35" s="73"/>
      <c r="M35" s="73"/>
      <c r="N35" s="73"/>
      <c r="O35" s="73"/>
      <c r="P35" s="73"/>
      <c r="Q35" s="73"/>
      <c r="R35" s="73"/>
      <c r="S35" s="73"/>
    </row>
    <row r="36" spans="1:19" ht="13.5" thickBot="1">
      <c r="A36" s="73"/>
      <c r="B36" s="73"/>
      <c r="C36" s="73"/>
      <c r="D36" s="73"/>
      <c r="E36" s="73"/>
      <c r="F36" s="73"/>
      <c r="G36" s="73"/>
      <c r="H36" s="73"/>
      <c r="I36" s="73"/>
      <c r="K36" s="73"/>
      <c r="L36" s="73"/>
      <c r="M36" s="73"/>
      <c r="N36" s="73"/>
      <c r="O36" s="73"/>
      <c r="P36" s="73"/>
      <c r="Q36" s="73"/>
      <c r="R36" s="73"/>
      <c r="S36" s="73"/>
    </row>
    <row r="37" spans="1:19" ht="13.5" thickBot="1">
      <c r="A37" s="200" t="s">
        <v>141</v>
      </c>
      <c r="B37" s="201"/>
      <c r="C37" s="201"/>
      <c r="D37" s="201"/>
      <c r="E37" s="201"/>
      <c r="F37" s="201"/>
      <c r="G37" s="201"/>
      <c r="H37" s="201"/>
      <c r="I37" s="202"/>
      <c r="K37" s="194" t="s">
        <v>141</v>
      </c>
      <c r="L37" s="195"/>
      <c r="M37" s="195"/>
      <c r="N37" s="195"/>
      <c r="O37" s="195"/>
      <c r="P37" s="195"/>
      <c r="Q37" s="195"/>
      <c r="R37" s="195"/>
      <c r="S37" s="196"/>
    </row>
    <row r="38" spans="1:19" ht="13.5" thickBot="1">
      <c r="A38" s="197" t="s">
        <v>139</v>
      </c>
      <c r="B38" s="198"/>
      <c r="C38" s="198"/>
      <c r="D38" s="198"/>
      <c r="E38" s="198"/>
      <c r="F38" s="198"/>
      <c r="G38" s="198"/>
      <c r="H38" s="198"/>
      <c r="I38" s="199"/>
      <c r="K38" s="197" t="s">
        <v>156</v>
      </c>
      <c r="L38" s="198"/>
      <c r="M38" s="198"/>
      <c r="N38" s="198"/>
      <c r="O38" s="198"/>
      <c r="P38" s="198"/>
      <c r="Q38" s="198"/>
      <c r="R38" s="198"/>
      <c r="S38" s="199"/>
    </row>
    <row r="39" spans="1:19" ht="12.75">
      <c r="A39" s="78"/>
      <c r="B39" s="79" t="s">
        <v>129</v>
      </c>
      <c r="C39" s="79" t="s">
        <v>130</v>
      </c>
      <c r="D39" s="79"/>
      <c r="E39" s="79" t="s">
        <v>185</v>
      </c>
      <c r="F39" s="79" t="s">
        <v>181</v>
      </c>
      <c r="G39" s="79" t="s">
        <v>182</v>
      </c>
      <c r="H39" s="79" t="s">
        <v>183</v>
      </c>
      <c r="I39" s="79" t="s">
        <v>184</v>
      </c>
      <c r="K39" s="78"/>
      <c r="L39" s="79" t="s">
        <v>129</v>
      </c>
      <c r="M39" s="79" t="s">
        <v>130</v>
      </c>
      <c r="N39" s="79"/>
      <c r="O39" s="79" t="s">
        <v>185</v>
      </c>
      <c r="P39" s="79" t="s">
        <v>181</v>
      </c>
      <c r="Q39" s="79" t="s">
        <v>182</v>
      </c>
      <c r="R39" s="79" t="s">
        <v>183</v>
      </c>
      <c r="S39" s="79" t="s">
        <v>184</v>
      </c>
    </row>
    <row r="40" spans="1:19" ht="12.75">
      <c r="A40" s="82" t="s">
        <v>137</v>
      </c>
      <c r="B40" s="83"/>
      <c r="C40" s="83"/>
      <c r="D40" s="83"/>
      <c r="E40" s="83"/>
      <c r="F40" s="83"/>
      <c r="G40" s="83"/>
      <c r="H40" s="83"/>
      <c r="I40" s="83"/>
      <c r="K40" s="82" t="s">
        <v>137</v>
      </c>
      <c r="L40" s="83"/>
      <c r="M40" s="83"/>
      <c r="N40" s="83"/>
      <c r="O40" s="83"/>
      <c r="P40" s="83"/>
      <c r="Q40" s="83"/>
      <c r="R40" s="83"/>
      <c r="S40" s="83"/>
    </row>
    <row r="41" spans="1:19" ht="12.75">
      <c r="A41" s="86" t="s">
        <v>95</v>
      </c>
      <c r="B41" s="87"/>
      <c r="C41" s="87"/>
      <c r="D41" s="88"/>
      <c r="E41" s="87">
        <f>+(E5*$F$18)*'[1]Res Care Costing Model'!$G$54*12</f>
        <v>382582400.6445174</v>
      </c>
      <c r="F41" s="87">
        <f>+(F5*$F$18)*'[1]Res Care Costing Model'!$G$54*12</f>
        <v>391197770.66844255</v>
      </c>
      <c r="G41" s="87">
        <f>+(G5*$F$18)*'[1]Res Care Costing Model'!$G$54*12</f>
        <v>400007150.14111423</v>
      </c>
      <c r="H41" s="87">
        <f>+(H5*$F$18)*'[1]Res Care Costing Model'!$G$54*12</f>
        <v>409014907.9597589</v>
      </c>
      <c r="I41" s="87">
        <f>+(I5*$F$18)*'[1]Res Care Costing Model'!$G$54*12</f>
        <v>418225511.4047647</v>
      </c>
      <c r="K41" s="86" t="s">
        <v>95</v>
      </c>
      <c r="L41" s="87"/>
      <c r="M41" s="87"/>
      <c r="N41" s="88"/>
      <c r="O41" s="87">
        <f>+(O5*$F$18)*'[1]Res Care Costing Model'!$G$54*12</f>
        <v>332808430.32066566</v>
      </c>
      <c r="P41" s="87">
        <f>+(P5*$F$18)*'[1]Res Care Costing Model'!$G$54*12</f>
        <v>340302940.70447814</v>
      </c>
      <c r="Q41" s="87">
        <f>+(Q5*$F$18)*'[1]Res Care Costing Model'!$G$54*12</f>
        <v>347966219.9077552</v>
      </c>
      <c r="R41" s="87">
        <f>+(R5*$F$18)*'[1]Res Care Costing Model'!$G$54*12</f>
        <v>355802068.4341942</v>
      </c>
      <c r="S41" s="87">
        <f>+(S5*$F$18)*'[1]Res Care Costing Model'!$G$54*12</f>
        <v>363814372.3710049</v>
      </c>
    </row>
    <row r="42" spans="1:19" ht="12.75">
      <c r="A42" s="86" t="s">
        <v>101</v>
      </c>
      <c r="B42" s="87"/>
      <c r="C42" s="87"/>
      <c r="D42" s="88"/>
      <c r="E42" s="87">
        <f>+(E6*$F$18)*'[1]Res Care Costing Model'!$G$54*12</f>
        <v>127626719.41395622</v>
      </c>
      <c r="F42" s="87">
        <f>+(F6*$F$18)*'[1]Res Care Costing Model'!$G$54*12</f>
        <v>130395236.16074863</v>
      </c>
      <c r="G42" s="87">
        <f>+(G6*$F$18)*'[1]Res Care Costing Model'!$G$54*12</f>
        <v>133223808.39601916</v>
      </c>
      <c r="H42" s="87">
        <f>+(H6*$F$18)*'[1]Res Care Costing Model'!$G$54*12</f>
        <v>136113738.86128116</v>
      </c>
      <c r="I42" s="87">
        <f>+(I6*$F$18)*'[1]Res Care Costing Model'!$G$54*12</f>
        <v>139066358.55750427</v>
      </c>
      <c r="K42" s="86" t="s">
        <v>101</v>
      </c>
      <c r="L42" s="87"/>
      <c r="M42" s="87"/>
      <c r="N42" s="88"/>
      <c r="O42" s="87">
        <f>+(O6*$F$18)*'[1]Res Care Costing Model'!$G$54*12</f>
        <v>111022483.21820053</v>
      </c>
      <c r="P42" s="87">
        <f>+(P6*$F$18)*'[1]Res Care Costing Model'!$G$54*12</f>
        <v>113430815.93623522</v>
      </c>
      <c r="Q42" s="87">
        <f>+(Q6*$F$18)*'[1]Res Care Costing Model'!$G$54*12</f>
        <v>115891390.92369707</v>
      </c>
      <c r="R42" s="87">
        <f>+(R6*$F$18)*'[1]Res Care Costing Model'!$G$54*12</f>
        <v>118405341.4354285</v>
      </c>
      <c r="S42" s="87">
        <f>+(S6*$F$18)*'[1]Res Care Costing Model'!$G$54*12</f>
        <v>120973825.30917294</v>
      </c>
    </row>
    <row r="43" spans="1:19" ht="12.75">
      <c r="A43" s="86" t="s">
        <v>93</v>
      </c>
      <c r="B43" s="87"/>
      <c r="C43" s="87"/>
      <c r="D43" s="88"/>
      <c r="E43" s="87">
        <f>+(E7*$F$18)*'[1]Res Care Costing Model'!$G$54*12</f>
        <v>372956693.8331198</v>
      </c>
      <c r="F43" s="87">
        <f>+(F7*$F$18)*'[1]Res Care Costing Model'!$G$54*12</f>
        <v>387272087.8469609</v>
      </c>
      <c r="G43" s="87">
        <f>+(G7*$F$18)*'[1]Res Care Costing Model'!$G$54*12</f>
        <v>402136957.1997893</v>
      </c>
      <c r="H43" s="87">
        <f>+(H7*$F$18)*'[1]Res Care Costing Model'!$G$54*12</f>
        <v>417572392.6941259</v>
      </c>
      <c r="I43" s="87">
        <f>+(I7*$F$18)*'[1]Res Care Costing Model'!$G$54*12</f>
        <v>433600294.67191833</v>
      </c>
      <c r="K43" s="86" t="s">
        <v>93</v>
      </c>
      <c r="L43" s="87"/>
      <c r="M43" s="87"/>
      <c r="N43" s="88"/>
      <c r="O43" s="87">
        <f>+(O7*$F$18)*'[1]Res Care Costing Model'!$G$54*12</f>
        <v>324435027.9654309</v>
      </c>
      <c r="P43" s="87">
        <f>+(P7*$F$18)*'[1]Res Care Costing Model'!$G$54*12</f>
        <v>336887989.21807134</v>
      </c>
      <c r="Q43" s="87">
        <f>+(Q7*$F$18)*'[1]Res Care Costing Model'!$G$54*12</f>
        <v>349818939.06809676</v>
      </c>
      <c r="R43" s="87">
        <f>+(R7*$F$18)*'[1]Res Care Costing Model'!$G$54*12</f>
        <v>363246224.4046201</v>
      </c>
      <c r="S43" s="87">
        <f>+(S7*$F$18)*'[1]Res Care Costing Model'!$G$54*12</f>
        <v>377188896.3351018</v>
      </c>
    </row>
    <row r="44" spans="1:19" ht="12.75">
      <c r="A44" s="86" t="s">
        <v>99</v>
      </c>
      <c r="B44" s="87"/>
      <c r="C44" s="87"/>
      <c r="D44" s="88"/>
      <c r="E44" s="87">
        <f>+(E8*$F$18)*'[1]Res Care Costing Model'!$G$54*12</f>
        <v>441795782.1958818</v>
      </c>
      <c r="F44" s="87">
        <f>+(F8*$F$18)*'[1]Res Care Costing Model'!$G$54*12</f>
        <v>457303256.3892962</v>
      </c>
      <c r="G44" s="87">
        <f>+(G8*$F$18)*'[1]Res Care Costing Model'!$G$54*12</f>
        <v>473355058.44990766</v>
      </c>
      <c r="H44" s="87">
        <f>+(H8*$F$18)*'[1]Res Care Costing Model'!$G$54*12</f>
        <v>489970294.8307283</v>
      </c>
      <c r="I44" s="87">
        <f>+(I8*$F$18)*'[1]Res Care Costing Model'!$G$54*12</f>
        <v>507168742.64039576</v>
      </c>
      <c r="K44" s="86" t="s">
        <v>99</v>
      </c>
      <c r="L44" s="87"/>
      <c r="M44" s="87"/>
      <c r="N44" s="88"/>
      <c r="O44" s="87">
        <f>+(O8*$F$18)*'[1]Res Care Costing Model'!$G$54*12</f>
        <v>384318150.9321976</v>
      </c>
      <c r="P44" s="87">
        <f>+(P8*$F$18)*'[1]Res Care Costing Model'!$G$54*12</f>
        <v>397808102.73304874</v>
      </c>
      <c r="Q44" s="87">
        <f>+(Q8*$F$18)*'[1]Res Care Costing Model'!$G$54*12</f>
        <v>411771565.3455747</v>
      </c>
      <c r="R44" s="87">
        <f>+(R8*$F$18)*'[1]Res Care Costing Model'!$G$54*12</f>
        <v>426225159.4732505</v>
      </c>
      <c r="S44" s="87">
        <f>+(S8*$F$18)*'[1]Res Care Costing Model'!$G$54*12</f>
        <v>441186089.22288024</v>
      </c>
    </row>
    <row r="45" spans="1:19" ht="12.75">
      <c r="A45" s="86" t="s">
        <v>98</v>
      </c>
      <c r="B45" s="87"/>
      <c r="C45" s="87"/>
      <c r="D45" s="88"/>
      <c r="E45" s="87">
        <f>+(E9*$F$18)*'[1]Res Care Costing Model'!$G$54*12</f>
        <v>273926369.6234465</v>
      </c>
      <c r="F45" s="87">
        <f>+(F9*$F$18)*'[1]Res Care Costing Model'!$G$54*12</f>
        <v>282810438.6006985</v>
      </c>
      <c r="G45" s="87">
        <f>+(G9*$F$18)*'[1]Res Care Costing Model'!$G$54*12</f>
        <v>291982638.58812326</v>
      </c>
      <c r="H45" s="87">
        <f>+(H9*$F$18)*'[1]Res Care Costing Model'!$G$54*12</f>
        <v>301452314.34421337</v>
      </c>
      <c r="I45" s="87">
        <f>+(I9*$F$18)*'[1]Res Care Costing Model'!$G$54*12</f>
        <v>311229113.69970334</v>
      </c>
      <c r="K45" s="86" t="s">
        <v>98</v>
      </c>
      <c r="L45" s="87"/>
      <c r="M45" s="87"/>
      <c r="N45" s="88"/>
      <c r="O45" s="87">
        <f>+(O9*$F$18)*'[1]Res Care Costing Model'!$G$54*12</f>
        <v>238288548.93543607</v>
      </c>
      <c r="P45" s="87">
        <f>+(P9*$F$18)*'[1]Res Care Costing Model'!$G$54*12</f>
        <v>246016800.53874767</v>
      </c>
      <c r="Q45" s="87">
        <f>+(Q9*$F$18)*'[1]Res Care Costing Model'!$G$54*12</f>
        <v>253995697.3078084</v>
      </c>
      <c r="R45" s="87">
        <f>+(R9*$F$18)*'[1]Res Care Costing Model'!$G$54*12</f>
        <v>262233368.2480312</v>
      </c>
      <c r="S45" s="87">
        <f>+(S9*$F$18)*'[1]Res Care Costing Model'!$G$54*12</f>
        <v>270738206.00737196</v>
      </c>
    </row>
    <row r="46" spans="1:19" ht="12.75">
      <c r="A46" s="86" t="s">
        <v>100</v>
      </c>
      <c r="B46" s="87"/>
      <c r="C46" s="87"/>
      <c r="D46" s="88"/>
      <c r="E46" s="87">
        <f>+(E10*$F$18)*'[1]Res Care Costing Model'!$G$54*12</f>
        <v>134882453.1893903</v>
      </c>
      <c r="F46" s="87">
        <f>+(F10*$F$18)*'[1]Res Care Costing Model'!$G$54*12</f>
        <v>140245279.34027237</v>
      </c>
      <c r="G46" s="87">
        <f>+(G10*$F$18)*'[1]Res Care Costing Model'!$G$54*12</f>
        <v>145821327.47551587</v>
      </c>
      <c r="H46" s="87">
        <f>+(H10*$F$18)*'[1]Res Care Costing Model'!$G$54*12</f>
        <v>151619075.14284214</v>
      </c>
      <c r="I46" s="87">
        <f>+(I10*$F$18)*'[1]Res Care Costing Model'!$G$54*12</f>
        <v>157647336.9509729</v>
      </c>
      <c r="K46" s="86" t="s">
        <v>100</v>
      </c>
      <c r="L46" s="87"/>
      <c r="M46" s="87"/>
      <c r="N46" s="88"/>
      <c r="O46" s="87">
        <f>+(O10*$F$18)*'[1]Res Care Costing Model'!$G$54*12</f>
        <v>117334246.02945063</v>
      </c>
      <c r="P46" s="87">
        <f>+(P10*$F$18)*'[1]Res Care Costing Model'!$G$54*12</f>
        <v>121999368.49810293</v>
      </c>
      <c r="Q46" s="87">
        <f>+(Q10*$F$18)*'[1]Res Care Costing Model'!$G$54*12</f>
        <v>126849972.77095127</v>
      </c>
      <c r="R46" s="87">
        <f>+(R10*$F$18)*'[1]Res Care Costing Model'!$G$54*12</f>
        <v>131893433.4667584</v>
      </c>
      <c r="S46" s="87">
        <f>+(S10*$F$18)*'[1]Res Care Costing Model'!$G$54*12</f>
        <v>137137418.41365132</v>
      </c>
    </row>
    <row r="47" spans="1:19" ht="12.75">
      <c r="A47" s="86" t="s">
        <v>96</v>
      </c>
      <c r="B47" s="87"/>
      <c r="C47" s="87"/>
      <c r="D47" s="88"/>
      <c r="E47" s="87">
        <f>+(E11*$F$18)*'[1]Res Care Costing Model'!$G$54*12</f>
        <v>186014421.51975358</v>
      </c>
      <c r="F47" s="87">
        <f>+(F11*$F$18)*'[1]Res Care Costing Model'!$G$54*12</f>
        <v>193569259.28140134</v>
      </c>
      <c r="G47" s="87">
        <f>+(G11*$F$18)*'[1]Res Care Costing Model'!$G$54*12</f>
        <v>201430931.17525515</v>
      </c>
      <c r="H47" s="87">
        <f>+(H11*$F$18)*'[1]Res Care Costing Model'!$G$54*12</f>
        <v>209611899.04201323</v>
      </c>
      <c r="I47" s="87">
        <f>+(I11*$F$18)*'[1]Res Care Costing Model'!$G$54*12</f>
        <v>218125130.85079068</v>
      </c>
      <c r="K47" s="86" t="s">
        <v>96</v>
      </c>
      <c r="L47" s="87"/>
      <c r="M47" s="87"/>
      <c r="N47" s="88"/>
      <c r="O47" s="87">
        <f>+(O11*$F$18)*'[1]Res Care Costing Model'!$G$54*12</f>
        <v>161813945.28003365</v>
      </c>
      <c r="P47" s="87">
        <f>+(P11*$F$18)*'[1]Res Care Costing Model'!$G$54*12</f>
        <v>168385898.64889103</v>
      </c>
      <c r="Q47" s="87">
        <f>+(Q11*$F$18)*'[1]Res Care Costing Model'!$G$54*12</f>
        <v>175224767.02935445</v>
      </c>
      <c r="R47" s="87">
        <f>+(R11*$F$18)*'[1]Res Care Costing Model'!$G$54*12</f>
        <v>182341390.9766473</v>
      </c>
      <c r="S47" s="87">
        <f>+(S11*$F$18)*'[1]Res Care Costing Model'!$G$54*12</f>
        <v>189747051.3271028</v>
      </c>
    </row>
    <row r="48" spans="1:19" ht="12.75">
      <c r="A48" s="86" t="s">
        <v>97</v>
      </c>
      <c r="B48" s="87"/>
      <c r="C48" s="87"/>
      <c r="D48" s="88"/>
      <c r="E48" s="87">
        <f>+(E12*$F$18)*'[1]Res Care Costing Model'!$G$54*12</f>
        <v>42837127.02071976</v>
      </c>
      <c r="F48" s="87">
        <f>+(F12*$F$18)*'[1]Res Care Costing Model'!$G$54*12</f>
        <v>43523520.137882784</v>
      </c>
      <c r="G48" s="87">
        <f>+(G12*$F$18)*'[1]Res Care Costing Model'!$G$54*12</f>
        <v>44220911.55357923</v>
      </c>
      <c r="H48" s="87">
        <f>+(H12*$F$18)*'[1]Res Care Costing Model'!$G$54*12</f>
        <v>44929477.49709757</v>
      </c>
      <c r="I48" s="87">
        <f>+(I12*$F$18)*'[1]Res Care Costing Model'!$G$54*12</f>
        <v>45649397.02150503</v>
      </c>
      <c r="K48" s="86" t="s">
        <v>97</v>
      </c>
      <c r="L48" s="87"/>
      <c r="M48" s="87"/>
      <c r="N48" s="88"/>
      <c r="O48" s="87">
        <f>+(O12*$F$18)*'[1]Res Care Costing Model'!$G$54*12</f>
        <v>37264016.79532413</v>
      </c>
      <c r="P48" s="87">
        <f>+(P12*$F$18)*'[1]Res Care Costing Model'!$G$54*12</f>
        <v>37861110.16794422</v>
      </c>
      <c r="Q48" s="87">
        <f>+(Q12*$F$18)*'[1]Res Care Costing Model'!$G$54*12</f>
        <v>38467770.96045857</v>
      </c>
      <c r="R48" s="87">
        <f>+(R12*$F$18)*'[1]Res Care Costing Model'!$G$54*12</f>
        <v>39084152.47472517</v>
      </c>
      <c r="S48" s="87">
        <f>+(S12*$F$18)*'[1]Res Care Costing Model'!$G$54*12</f>
        <v>39710410.469007224</v>
      </c>
    </row>
    <row r="49" spans="1:19" ht="12.75">
      <c r="A49" s="86" t="s">
        <v>94</v>
      </c>
      <c r="B49" s="87"/>
      <c r="C49" s="87"/>
      <c r="D49" s="88"/>
      <c r="E49" s="87">
        <f>+(E13*$F$18)*'[1]Res Care Costing Model'!$G$54*12</f>
        <v>237931712.00867683</v>
      </c>
      <c r="F49" s="87">
        <f>+(F13*$F$18)*'[1]Res Care Costing Model'!$G$54*12</f>
        <v>245975979.0827155</v>
      </c>
      <c r="G49" s="87">
        <f>+(G13*$F$18)*'[1]Res Care Costing Model'!$G$54*12</f>
        <v>254292215.9257781</v>
      </c>
      <c r="H49" s="87">
        <f>+(H13*$F$18)*'[1]Res Care Costing Model'!$G$54*12</f>
        <v>262889617.6024468</v>
      </c>
      <c r="I49" s="87">
        <f>+(I13*$F$18)*'[1]Res Care Costing Model'!$G$54*12</f>
        <v>271777690.0545496</v>
      </c>
      <c r="K49" s="86" t="s">
        <v>94</v>
      </c>
      <c r="L49" s="87"/>
      <c r="M49" s="87"/>
      <c r="N49" s="88"/>
      <c r="O49" s="87">
        <f>+(O13*$F$18)*'[1]Res Care Costing Model'!$G$54*12</f>
        <v>206976796.276348</v>
      </c>
      <c r="P49" s="87">
        <f>+(P13*$F$18)*'[1]Res Care Costing Model'!$G$54*12</f>
        <v>213974504.2040542</v>
      </c>
      <c r="Q49" s="87">
        <f>+(Q13*$F$18)*'[1]Res Care Costing Model'!$G$54*12</f>
        <v>221208798.63383433</v>
      </c>
      <c r="R49" s="87">
        <f>+(R13*$F$18)*'[1]Res Care Costing Model'!$G$54*12</f>
        <v>228687678.3523685</v>
      </c>
      <c r="S49" s="87">
        <f>+(S13*$F$18)*'[1]Res Care Costing Model'!$G$54*12</f>
        <v>236419412.57845268</v>
      </c>
    </row>
    <row r="50" spans="1:19" ht="12.75">
      <c r="A50" s="86"/>
      <c r="B50" s="87"/>
      <c r="C50" s="87"/>
      <c r="D50" s="83"/>
      <c r="E50" s="87"/>
      <c r="F50" s="87"/>
      <c r="G50" s="87"/>
      <c r="H50" s="87"/>
      <c r="I50" s="87"/>
      <c r="K50" s="86"/>
      <c r="L50" s="87"/>
      <c r="M50" s="87"/>
      <c r="N50" s="83"/>
      <c r="O50" s="87"/>
      <c r="P50" s="87"/>
      <c r="Q50" s="87"/>
      <c r="R50" s="87"/>
      <c r="S50" s="87"/>
    </row>
    <row r="51" spans="1:19" ht="13.5" thickBot="1">
      <c r="A51" s="91" t="s">
        <v>138</v>
      </c>
      <c r="B51" s="92"/>
      <c r="C51" s="92"/>
      <c r="D51" s="93"/>
      <c r="E51" s="92">
        <f>+(E15*$F$18)*'[1]Res Care Costing Model'!$G$54*12</f>
        <v>2200553679.4494624</v>
      </c>
      <c r="F51" s="92">
        <f>+(F15*$F$18)*'[1]Res Care Costing Model'!$G$54*12</f>
        <v>2272292827.5084186</v>
      </c>
      <c r="G51" s="92">
        <f>+(G15*$F$18)*'[1]Res Care Costing Model'!$G$54*12</f>
        <v>2346470998.9050817</v>
      </c>
      <c r="H51" s="92">
        <f>+(H15*$F$18)*'[1]Res Care Costing Model'!$G$54*12</f>
        <v>2423173717.9745073</v>
      </c>
      <c r="I51" s="92">
        <f>+(I15*$F$18)*'[1]Res Care Costing Model'!$G$54*12</f>
        <v>2502489575.8521047</v>
      </c>
      <c r="K51" s="91" t="s">
        <v>138</v>
      </c>
      <c r="L51" s="92"/>
      <c r="M51" s="92"/>
      <c r="N51" s="93"/>
      <c r="O51" s="92">
        <f>+(O15*$F$18)*'[1]Res Care Costing Model'!$G$54*12</f>
        <v>1914261645.753087</v>
      </c>
      <c r="P51" s="92">
        <f>+(P15*$F$18)*'[1]Res Care Costing Model'!$G$54*12</f>
        <v>1976667530.6495733</v>
      </c>
      <c r="Q51" s="92">
        <f>+(Q15*$F$18)*'[1]Res Care Costing Model'!$G$54*12</f>
        <v>2041195121.9475307</v>
      </c>
      <c r="R51" s="92">
        <f>+(R15*$F$18)*'[1]Res Care Costing Model'!$G$54*12</f>
        <v>2107918817.266024</v>
      </c>
      <c r="S51" s="92">
        <f>+(S15*$F$18)*'[1]Res Care Costing Model'!$G$54*12</f>
        <v>2176915682.033746</v>
      </c>
    </row>
    <row r="52" spans="1:19" ht="12.75">
      <c r="A52" s="73"/>
      <c r="B52" s="73"/>
      <c r="C52" s="73"/>
      <c r="D52" s="73"/>
      <c r="E52" s="73"/>
      <c r="F52" s="73"/>
      <c r="G52" s="73"/>
      <c r="H52" s="73"/>
      <c r="I52" s="73"/>
      <c r="K52" s="73"/>
      <c r="L52" s="73"/>
      <c r="M52" s="73"/>
      <c r="N52" s="73"/>
      <c r="O52" s="73"/>
      <c r="P52" s="73"/>
      <c r="Q52" s="73"/>
      <c r="R52" s="73"/>
      <c r="S52" s="73"/>
    </row>
    <row r="53" spans="1:19" ht="13.5" thickBot="1">
      <c r="A53" s="73"/>
      <c r="B53" s="73"/>
      <c r="C53" s="73"/>
      <c r="D53" s="73"/>
      <c r="E53" s="73"/>
      <c r="F53" s="73"/>
      <c r="G53" s="73"/>
      <c r="H53" s="73"/>
      <c r="I53" s="73"/>
      <c r="K53" s="73"/>
      <c r="L53" s="73"/>
      <c r="M53" s="73"/>
      <c r="N53" s="73"/>
      <c r="O53" s="73"/>
      <c r="P53" s="73"/>
      <c r="Q53" s="73"/>
      <c r="R53" s="73"/>
      <c r="S53" s="73"/>
    </row>
    <row r="54" spans="1:19" ht="13.5" thickBot="1">
      <c r="A54" s="200" t="s">
        <v>142</v>
      </c>
      <c r="B54" s="201"/>
      <c r="C54" s="201"/>
      <c r="D54" s="201"/>
      <c r="E54" s="201"/>
      <c r="F54" s="201"/>
      <c r="G54" s="201"/>
      <c r="H54" s="201"/>
      <c r="I54" s="202"/>
      <c r="K54" s="194" t="s">
        <v>142</v>
      </c>
      <c r="L54" s="195"/>
      <c r="M54" s="195"/>
      <c r="N54" s="195"/>
      <c r="O54" s="195"/>
      <c r="P54" s="195"/>
      <c r="Q54" s="195"/>
      <c r="R54" s="195"/>
      <c r="S54" s="196"/>
    </row>
    <row r="55" spans="1:19" ht="13.5" thickBot="1">
      <c r="A55" s="197" t="s">
        <v>139</v>
      </c>
      <c r="B55" s="198"/>
      <c r="C55" s="198"/>
      <c r="D55" s="198"/>
      <c r="E55" s="198"/>
      <c r="F55" s="198"/>
      <c r="G55" s="198"/>
      <c r="H55" s="198"/>
      <c r="I55" s="199"/>
      <c r="K55" s="197" t="s">
        <v>156</v>
      </c>
      <c r="L55" s="198"/>
      <c r="M55" s="198"/>
      <c r="N55" s="198"/>
      <c r="O55" s="198"/>
      <c r="P55" s="198"/>
      <c r="Q55" s="198"/>
      <c r="R55" s="198"/>
      <c r="S55" s="199"/>
    </row>
    <row r="56" spans="1:19" ht="12.75">
      <c r="A56" s="78"/>
      <c r="B56" s="79" t="s">
        <v>129</v>
      </c>
      <c r="C56" s="79" t="s">
        <v>130</v>
      </c>
      <c r="D56" s="79"/>
      <c r="E56" s="79" t="s">
        <v>185</v>
      </c>
      <c r="F56" s="79" t="s">
        <v>181</v>
      </c>
      <c r="G56" s="79" t="s">
        <v>182</v>
      </c>
      <c r="H56" s="79" t="s">
        <v>183</v>
      </c>
      <c r="I56" s="79" t="s">
        <v>184</v>
      </c>
      <c r="K56" s="78"/>
      <c r="L56" s="79" t="s">
        <v>129</v>
      </c>
      <c r="M56" s="79" t="s">
        <v>130</v>
      </c>
      <c r="N56" s="79"/>
      <c r="O56" s="79" t="s">
        <v>185</v>
      </c>
      <c r="P56" s="79" t="s">
        <v>181</v>
      </c>
      <c r="Q56" s="79" t="s">
        <v>182</v>
      </c>
      <c r="R56" s="79" t="s">
        <v>183</v>
      </c>
      <c r="S56" s="79" t="s">
        <v>184</v>
      </c>
    </row>
    <row r="57" spans="1:19" ht="12.75">
      <c r="A57" s="82" t="s">
        <v>137</v>
      </c>
      <c r="B57" s="83"/>
      <c r="C57" s="83"/>
      <c r="D57" s="83"/>
      <c r="E57" s="83"/>
      <c r="F57" s="83"/>
      <c r="G57" s="83"/>
      <c r="H57" s="83"/>
      <c r="I57" s="83"/>
      <c r="K57" s="82" t="s">
        <v>137</v>
      </c>
      <c r="L57" s="83"/>
      <c r="M57" s="83"/>
      <c r="N57" s="83"/>
      <c r="O57" s="83"/>
      <c r="P57" s="83"/>
      <c r="Q57" s="83"/>
      <c r="R57" s="83"/>
      <c r="S57" s="83"/>
    </row>
    <row r="58" spans="1:19" ht="12.75">
      <c r="A58" s="86" t="s">
        <v>95</v>
      </c>
      <c r="B58" s="87"/>
      <c r="C58" s="87"/>
      <c r="D58" s="88"/>
      <c r="E58" s="87">
        <f>+(E5*$F$18)*'[1]Res Care Costing Model'!$J$54*12</f>
        <v>390933027.0126678</v>
      </c>
      <c r="F58" s="87">
        <f>+(F5*$F$18)*'[1]Res Care Costing Model'!$J$54*12</f>
        <v>399736444.72506976</v>
      </c>
      <c r="G58" s="87">
        <f>+(G5*$F$18)*'[1]Res Care Costing Model'!$J$54*12</f>
        <v>408738106.53061306</v>
      </c>
      <c r="H58" s="87">
        <f>+(H5*$F$18)*'[1]Res Care Costing Model'!$J$54*12</f>
        <v>417942476.68644714</v>
      </c>
      <c r="I58" s="87">
        <f>+(I5*$F$18)*'[1]Res Care Costing Model'!$J$54*12</f>
        <v>427354119.98029315</v>
      </c>
      <c r="K58" s="86" t="s">
        <v>95</v>
      </c>
      <c r="L58" s="87"/>
      <c r="M58" s="87"/>
      <c r="N58" s="88"/>
      <c r="O58" s="87">
        <f>+(O5*$F$18)*'[1]Res Care Costing Model'!$J$54*12</f>
        <v>340072640.1983197</v>
      </c>
      <c r="P58" s="87">
        <f>+(P5*$F$18)*'[1]Res Care Costing Model'!$J$54*12</f>
        <v>347730733.2663382</v>
      </c>
      <c r="Q58" s="87">
        <f>+(Q5*$F$18)*'[1]Res Care Costing Model'!$J$54*12</f>
        <v>355561278.87098026</v>
      </c>
      <c r="R58" s="87">
        <f>+(R5*$F$18)*'[1]Res Care Costing Model'!$J$54*12</f>
        <v>363568160.4695404</v>
      </c>
      <c r="S58" s="87">
        <f>+(S5*$F$18)*'[1]Res Care Costing Model'!$J$54*12</f>
        <v>371755348.970857</v>
      </c>
    </row>
    <row r="59" spans="1:19" ht="12.75">
      <c r="A59" s="86" t="s">
        <v>101</v>
      </c>
      <c r="B59" s="87"/>
      <c r="C59" s="87"/>
      <c r="D59" s="88"/>
      <c r="E59" s="87">
        <f>+(E6*$F$18)*'[1]Res Care Costing Model'!$J$54*12</f>
        <v>130412427.921779</v>
      </c>
      <c r="F59" s="87">
        <f>+(F6*$F$18)*'[1]Res Care Costing Model'!$J$54*12</f>
        <v>133241373.08584175</v>
      </c>
      <c r="G59" s="87">
        <f>+(G6*$F$18)*'[1]Res Care Costing Model'!$J$54*12</f>
        <v>136131684.5695782</v>
      </c>
      <c r="H59" s="87">
        <f>+(H6*$F$18)*'[1]Res Care Costing Model'!$J$54*12</f>
        <v>139084693.5494417</v>
      </c>
      <c r="I59" s="87">
        <f>+(I6*$F$18)*'[1]Res Care Costing Model'!$J$54*12</f>
        <v>142101760.07816118</v>
      </c>
      <c r="K59" s="86" t="s">
        <v>101</v>
      </c>
      <c r="L59" s="87"/>
      <c r="M59" s="87"/>
      <c r="N59" s="88"/>
      <c r="O59" s="87">
        <f>+(O6*$F$18)*'[1]Res Care Costing Model'!$J$54*12</f>
        <v>113445771.0491556</v>
      </c>
      <c r="P59" s="87">
        <f>+(P6*$F$18)*'[1]Res Care Costing Model'!$J$54*12</f>
        <v>115906670.44737372</v>
      </c>
      <c r="Q59" s="87">
        <f>+(Q6*$F$18)*'[1]Res Care Costing Model'!$J$54*12</f>
        <v>118420952.40707606</v>
      </c>
      <c r="R59" s="87">
        <f>+(R6*$F$18)*'[1]Res Care Costing Model'!$J$54*12</f>
        <v>120989774.91865936</v>
      </c>
      <c r="S59" s="87">
        <f>+(S6*$F$18)*'[1]Res Care Costing Model'!$J$54*12</f>
        <v>123614321.09199241</v>
      </c>
    </row>
    <row r="60" spans="1:19" ht="12.75">
      <c r="A60" s="86" t="s">
        <v>93</v>
      </c>
      <c r="B60" s="87"/>
      <c r="C60" s="87"/>
      <c r="D60" s="88"/>
      <c r="E60" s="87">
        <f>+(E7*$F$18)*'[1]Res Care Costing Model'!$J$54*12</f>
        <v>381097219.8909163</v>
      </c>
      <c r="F60" s="87">
        <f>+(F7*$F$18)*'[1]Res Care Costing Model'!$J$54*12</f>
        <v>395725076.0214702</v>
      </c>
      <c r="G60" s="87">
        <f>+(G7*$F$18)*'[1]Res Care Costing Model'!$J$54*12</f>
        <v>410914400.88967955</v>
      </c>
      <c r="H60" s="87">
        <f>+(H7*$F$18)*'[1]Res Care Costing Model'!$J$54*12</f>
        <v>426686745.64702916</v>
      </c>
      <c r="I60" s="87">
        <f>+(I7*$F$18)*'[1]Res Care Costing Model'!$J$54*12</f>
        <v>443064488.65424806</v>
      </c>
      <c r="K60" s="86" t="s">
        <v>93</v>
      </c>
      <c r="L60" s="87"/>
      <c r="M60" s="87"/>
      <c r="N60" s="88"/>
      <c r="O60" s="87">
        <f>+(O7*$F$18)*'[1]Res Care Costing Model'!$J$54*12</f>
        <v>331516471.58310807</v>
      </c>
      <c r="P60" s="87">
        <f>+(P7*$F$18)*'[1]Res Care Costing Model'!$J$54*12</f>
        <v>344241243.63107693</v>
      </c>
      <c r="Q60" s="87">
        <f>+(Q7*$F$18)*'[1]Res Care Costing Model'!$J$54*12</f>
        <v>357454437.3339323</v>
      </c>
      <c r="R60" s="87">
        <f>+(R7*$F$18)*'[1]Res Care Costing Model'!$J$54*12</f>
        <v>371174800.03835064</v>
      </c>
      <c r="S60" s="87">
        <f>+(S7*$F$18)*'[1]Res Care Costing Model'!$J$54*12</f>
        <v>385421798.6803304</v>
      </c>
    </row>
    <row r="61" spans="1:19" ht="12.75">
      <c r="A61" s="86" t="s">
        <v>99</v>
      </c>
      <c r="B61" s="87"/>
      <c r="C61" s="87"/>
      <c r="D61" s="88"/>
      <c r="E61" s="87">
        <f>+(E8*$F$18)*'[1]Res Care Costing Model'!$J$54*12</f>
        <v>451438859.09102225</v>
      </c>
      <c r="F61" s="87">
        <f>+(F8*$F$18)*'[1]Res Care Costing Model'!$J$54*12</f>
        <v>467284814.93619263</v>
      </c>
      <c r="G61" s="87">
        <f>+(G8*$F$18)*'[1]Res Care Costing Model'!$J$54*12</f>
        <v>483686979.69335765</v>
      </c>
      <c r="H61" s="87">
        <f>+(H8*$F$18)*'[1]Res Care Costing Model'!$J$54*12</f>
        <v>500664876.8520942</v>
      </c>
      <c r="I61" s="87">
        <f>+(I8*$F$18)*'[1]Res Care Costing Model'!$J$54*12</f>
        <v>518238715.19600666</v>
      </c>
      <c r="K61" s="86" t="s">
        <v>99</v>
      </c>
      <c r="L61" s="87"/>
      <c r="M61" s="87"/>
      <c r="N61" s="88"/>
      <c r="O61" s="87">
        <f>+(O8*$F$18)*'[1]Res Care Costing Model'!$J$54*12</f>
        <v>392706663.52328026</v>
      </c>
      <c r="P61" s="87">
        <f>+(P8*$F$18)*'[1]Res Care Costing Model'!$J$54*12</f>
        <v>406491060.51299405</v>
      </c>
      <c r="Q61" s="87">
        <f>+(Q8*$F$18)*'[1]Res Care Costing Model'!$J$54*12</f>
        <v>420759303.63525176</v>
      </c>
      <c r="R61" s="87">
        <f>+(R8*$F$18)*'[1]Res Care Costing Model'!$J$54*12</f>
        <v>435528376.3736367</v>
      </c>
      <c r="S61" s="87">
        <f>+(S8*$F$18)*'[1]Res Care Costing Model'!$J$54*12</f>
        <v>450815858.34900624</v>
      </c>
    </row>
    <row r="62" spans="1:19" ht="12.75">
      <c r="A62" s="86" t="s">
        <v>98</v>
      </c>
      <c r="B62" s="87"/>
      <c r="C62" s="87"/>
      <c r="D62" s="88"/>
      <c r="E62" s="87">
        <f>+(E9*$F$18)*'[1]Res Care Costing Model'!$J$54*12</f>
        <v>279905360.7146616</v>
      </c>
      <c r="F62" s="87">
        <f>+(F9*$F$18)*'[1]Res Care Costing Model'!$J$54*12</f>
        <v>288983342.272662</v>
      </c>
      <c r="G62" s="87">
        <f>+(G9*$F$18)*'[1]Res Care Costing Model'!$J$54*12</f>
        <v>298355743.87662715</v>
      </c>
      <c r="H62" s="87">
        <f>+(H9*$F$18)*'[1]Res Care Costing Model'!$J$54*12</f>
        <v>308032114.25310075</v>
      </c>
      <c r="I62" s="87">
        <f>+(I9*$F$18)*'[1]Res Care Costing Model'!$J$54*12</f>
        <v>318022311.8160267</v>
      </c>
      <c r="K62" s="86" t="s">
        <v>98</v>
      </c>
      <c r="L62" s="87"/>
      <c r="M62" s="87"/>
      <c r="N62" s="88"/>
      <c r="O62" s="87">
        <f>+(O9*$F$18)*'[1]Res Care Costing Model'!$J$54*12</f>
        <v>243489673.28568408</v>
      </c>
      <c r="P62" s="87">
        <f>+(P9*$F$18)*'[1]Res Care Costing Model'!$J$54*12</f>
        <v>251386609.4429887</v>
      </c>
      <c r="Q62" s="87">
        <f>+(Q9*$F$18)*'[1]Res Care Costing Model'!$J$54*12</f>
        <v>259539661.598278</v>
      </c>
      <c r="R62" s="87">
        <f>+(R9*$F$18)*'[1]Res Care Costing Model'!$J$54*12</f>
        <v>267957136.18877244</v>
      </c>
      <c r="S62" s="87">
        <f>+(S9*$F$18)*'[1]Res Care Costing Model'!$J$54*12</f>
        <v>276647609.04876167</v>
      </c>
    </row>
    <row r="63" spans="1:19" ht="12.75">
      <c r="A63" s="86" t="s">
        <v>100</v>
      </c>
      <c r="B63" s="87"/>
      <c r="C63" s="87"/>
      <c r="D63" s="88"/>
      <c r="E63" s="87">
        <f>+(E10*$F$18)*'[1]Res Care Costing Model'!$J$54*12</f>
        <v>137826532.60419512</v>
      </c>
      <c r="F63" s="87">
        <f>+(F10*$F$18)*'[1]Res Care Costing Model'!$J$54*12</f>
        <v>143306413.16580778</v>
      </c>
      <c r="G63" s="87">
        <f>+(G10*$F$18)*'[1]Res Care Costing Model'!$J$54*12</f>
        <v>149004169.708207</v>
      </c>
      <c r="H63" s="87">
        <f>+(H10*$F$18)*'[1]Res Care Costing Model'!$J$54*12</f>
        <v>154928464.81855494</v>
      </c>
      <c r="I63" s="87">
        <f>+(I10*$F$18)*'[1]Res Care Costing Model'!$J$54*12</f>
        <v>161088305.5020451</v>
      </c>
      <c r="K63" s="86" t="s">
        <v>100</v>
      </c>
      <c r="L63" s="87"/>
      <c r="M63" s="87"/>
      <c r="N63" s="88"/>
      <c r="O63" s="87">
        <f>+(O10*$F$18)*'[1]Res Care Costing Model'!$J$54*12</f>
        <v>119895300.71238932</v>
      </c>
      <c r="P63" s="87">
        <f>+(P10*$F$18)*'[1]Res Care Costing Model'!$J$54*12</f>
        <v>124662248.81293622</v>
      </c>
      <c r="Q63" s="87">
        <f>+(Q10*$F$18)*'[1]Res Care Costing Model'!$J$54*12</f>
        <v>129618727.22916928</v>
      </c>
      <c r="R63" s="87">
        <f>+(R10*$F$18)*'[1]Res Care Costing Model'!$J$54*12</f>
        <v>134772271.54566097</v>
      </c>
      <c r="S63" s="87">
        <f>+(S10*$F$18)*'[1]Res Care Costing Model'!$J$54*12</f>
        <v>140130716.956229</v>
      </c>
    </row>
    <row r="64" spans="1:19" ht="12.75">
      <c r="A64" s="86" t="s">
        <v>96</v>
      </c>
      <c r="B64" s="87"/>
      <c r="C64" s="87"/>
      <c r="D64" s="88"/>
      <c r="E64" s="87">
        <f>+(E11*$F$18)*'[1]Res Care Costing Model'!$J$54*12</f>
        <v>190074558.44864067</v>
      </c>
      <c r="F64" s="87">
        <f>+(F11*$F$18)*'[1]Res Care Costing Model'!$J$54*12</f>
        <v>197794295.6602193</v>
      </c>
      <c r="G64" s="87">
        <f>+(G11*$F$18)*'[1]Res Care Costing Model'!$J$54*12</f>
        <v>205827564.2728557</v>
      </c>
      <c r="H64" s="87">
        <f>+(H11*$F$18)*'[1]Res Care Costing Model'!$J$54*12</f>
        <v>214187098.13185507</v>
      </c>
      <c r="I64" s="87">
        <f>+(I11*$F$18)*'[1]Res Care Costing Model'!$J$54*12</f>
        <v>222886148.25820488</v>
      </c>
      <c r="K64" s="86" t="s">
        <v>96</v>
      </c>
      <c r="L64" s="87"/>
      <c r="M64" s="87"/>
      <c r="N64" s="88"/>
      <c r="O64" s="87">
        <f>+(O11*$F$18)*'[1]Res Care Costing Model'!$J$54*12</f>
        <v>165345858.39447254</v>
      </c>
      <c r="P64" s="87">
        <f>+(P11*$F$18)*'[1]Res Care Costing Model'!$J$54*12</f>
        <v>172061257.79482478</v>
      </c>
      <c r="Q64" s="87">
        <f>+(Q11*$F$18)*'[1]Res Care Costing Model'!$J$54*12</f>
        <v>179049398.16095716</v>
      </c>
      <c r="R64" s="87">
        <f>+(R11*$F$18)*'[1]Res Care Costing Model'!$J$54*12</f>
        <v>186321356.66490072</v>
      </c>
      <c r="S64" s="87">
        <f>+(S11*$F$18)*'[1]Res Care Costing Model'!$J$54*12</f>
        <v>193888660.36981243</v>
      </c>
    </row>
    <row r="65" spans="1:19" ht="12.75">
      <c r="A65" s="86" t="s">
        <v>97</v>
      </c>
      <c r="B65" s="87"/>
      <c r="C65" s="87"/>
      <c r="D65" s="88"/>
      <c r="E65" s="87">
        <f>+(E12*$F$18)*'[1]Res Care Costing Model'!$J$54*12</f>
        <v>43772133.02683087</v>
      </c>
      <c r="F65" s="87">
        <f>+(F12*$F$18)*'[1]Res Care Costing Model'!$J$54*12</f>
        <v>44473508.047117084</v>
      </c>
      <c r="G65" s="87">
        <f>+(G12*$F$18)*'[1]Res Care Costing Model'!$J$54*12</f>
        <v>45186121.42580772</v>
      </c>
      <c r="H65" s="87">
        <f>+(H12*$F$18)*'[1]Res Care Costing Model'!$J$54*12</f>
        <v>45910153.238748044</v>
      </c>
      <c r="I65" s="87">
        <f>+(I12*$F$18)*'[1]Res Care Costing Model'!$J$54*12</f>
        <v>46645786.44719673</v>
      </c>
      <c r="K65" s="86" t="s">
        <v>97</v>
      </c>
      <c r="L65" s="87"/>
      <c r="M65" s="87"/>
      <c r="N65" s="88"/>
      <c r="O65" s="87">
        <f>+(O12*$F$18)*'[1]Res Care Costing Model'!$J$54*12</f>
        <v>38077378.52004018</v>
      </c>
      <c r="P65" s="87">
        <f>+(P12*$F$18)*'[1]Res Care Costing Model'!$J$54*12</f>
        <v>38687504.65018715</v>
      </c>
      <c r="Q65" s="87">
        <f>+(Q12*$F$18)*'[1]Res Care Costing Model'!$J$54*12</f>
        <v>39307407.028310135</v>
      </c>
      <c r="R65" s="87">
        <f>+(R12*$F$18)*'[1]Res Care Costing Model'!$J$54*12</f>
        <v>39937242.30238692</v>
      </c>
      <c r="S65" s="87">
        <f>+(S12*$F$18)*'[1]Res Care Costing Model'!$J$54*12</f>
        <v>40577169.63041644</v>
      </c>
    </row>
    <row r="66" spans="1:19" ht="12.75">
      <c r="A66" s="86" t="s">
        <v>94</v>
      </c>
      <c r="B66" s="87"/>
      <c r="C66" s="87"/>
      <c r="D66" s="88"/>
      <c r="E66" s="87">
        <f>+(E13*$F$18)*'[1]Res Care Costing Model'!$J$54*12</f>
        <v>243125047.67903596</v>
      </c>
      <c r="F66" s="87">
        <f>+(F13*$F$18)*'[1]Res Care Costing Model'!$J$54*12</f>
        <v>251344896.97700277</v>
      </c>
      <c r="G66" s="87">
        <f>+(G13*$F$18)*'[1]Res Care Costing Model'!$J$54*12</f>
        <v>259842652.32836175</v>
      </c>
      <c r="H66" s="87">
        <f>+(H13*$F$18)*'[1]Res Care Costing Model'!$J$54*12</f>
        <v>268627709.4983773</v>
      </c>
      <c r="I66" s="87">
        <f>+(I13*$F$18)*'[1]Res Care Costing Model'!$J$54*12</f>
        <v>277709781.9150773</v>
      </c>
      <c r="K66" s="86" t="s">
        <v>94</v>
      </c>
      <c r="L66" s="87"/>
      <c r="M66" s="87"/>
      <c r="N66" s="88"/>
      <c r="O66" s="87">
        <f>+(O13*$F$18)*'[1]Res Care Costing Model'!$J$54*12</f>
        <v>211494478.9759934</v>
      </c>
      <c r="P66" s="87">
        <f>+(P13*$F$18)*'[1]Res Care Costing Model'!$J$54*12</f>
        <v>218644925.8802947</v>
      </c>
      <c r="Q66" s="87">
        <f>+(Q13*$F$18)*'[1]Res Care Costing Model'!$J$54*12</f>
        <v>226037123.2604419</v>
      </c>
      <c r="R66" s="87">
        <f>+(R13*$F$18)*'[1]Res Care Costing Model'!$J$54*12</f>
        <v>233679244.49263847</v>
      </c>
      <c r="S66" s="87">
        <f>+(S13*$F$18)*'[1]Res Care Costing Model'!$J$54*12</f>
        <v>241579739.2879258</v>
      </c>
    </row>
    <row r="67" spans="1:19" ht="12.75">
      <c r="A67" s="86"/>
      <c r="B67" s="87"/>
      <c r="C67" s="87"/>
      <c r="D67" s="83"/>
      <c r="E67" s="87"/>
      <c r="F67" s="87"/>
      <c r="G67" s="87"/>
      <c r="H67" s="87"/>
      <c r="I67" s="87"/>
      <c r="K67" s="86"/>
      <c r="L67" s="87"/>
      <c r="M67" s="87"/>
      <c r="N67" s="83"/>
      <c r="O67" s="87"/>
      <c r="P67" s="87"/>
      <c r="Q67" s="87"/>
      <c r="R67" s="87"/>
      <c r="S67" s="87"/>
    </row>
    <row r="68" spans="1:19" ht="13.5" thickBot="1">
      <c r="A68" s="91" t="s">
        <v>138</v>
      </c>
      <c r="B68" s="92"/>
      <c r="C68" s="92"/>
      <c r="D68" s="93"/>
      <c r="E68" s="92">
        <f>+(E15*$F$18)*'[1]Res Care Costing Model'!$J$54*12</f>
        <v>2248585166.38975</v>
      </c>
      <c r="F68" s="92">
        <f>+(F15*$F$18)*'[1]Res Care Costing Model'!$J$54*12</f>
        <v>2321890164.8913836</v>
      </c>
      <c r="G68" s="92">
        <f>+(G15*$F$18)*'[1]Res Care Costing Model'!$J$54*12</f>
        <v>2397687423.2950873</v>
      </c>
      <c r="H68" s="92">
        <f>+(H15*$F$18)*'[1]Res Care Costing Model'!$J$54*12</f>
        <v>2476064332.675648</v>
      </c>
      <c r="I68" s="92">
        <f>+(I15*$F$18)*'[1]Res Care Costing Model'!$J$54*12</f>
        <v>2557111417.84726</v>
      </c>
      <c r="K68" s="91" t="s">
        <v>138</v>
      </c>
      <c r="L68" s="92"/>
      <c r="M68" s="92"/>
      <c r="N68" s="93"/>
      <c r="O68" s="92">
        <f>+(O15*$F$18)*'[1]Res Care Costing Model'!$J$54*12</f>
        <v>1956044236.242443</v>
      </c>
      <c r="P68" s="92">
        <f>+(P15*$F$18)*'[1]Res Care Costing Model'!$J$54*12</f>
        <v>2019812254.439014</v>
      </c>
      <c r="Q68" s="92">
        <f>+(Q15*$F$18)*'[1]Res Care Costing Model'!$J$54*12</f>
        <v>2085748289.5243964</v>
      </c>
      <c r="R68" s="92">
        <f>+(R15*$F$18)*'[1]Res Care Costing Model'!$J$54*12</f>
        <v>2153928362.994547</v>
      </c>
      <c r="S68" s="92">
        <f>+(S15*$F$18)*'[1]Res Care Costing Model'!$J$54*12</f>
        <v>2224431222.385331</v>
      </c>
    </row>
    <row r="69" spans="1:20" ht="12.75">
      <c r="A69" s="73"/>
      <c r="B69" s="73"/>
      <c r="C69" s="73"/>
      <c r="D69" s="73"/>
      <c r="E69" s="73"/>
      <c r="F69" s="73"/>
      <c r="G69" s="73"/>
      <c r="H69" s="73"/>
      <c r="I69" s="73"/>
      <c r="J69" s="73"/>
      <c r="K69" s="73"/>
      <c r="L69" s="73"/>
      <c r="M69" s="73"/>
      <c r="N69" s="73"/>
      <c r="O69" s="73"/>
      <c r="P69" s="73"/>
      <c r="Q69" s="73"/>
      <c r="R69" s="73"/>
      <c r="S69" s="73"/>
      <c r="T69" s="73"/>
    </row>
    <row r="70" spans="1:20" ht="12.75">
      <c r="A70" s="73"/>
      <c r="B70" s="73"/>
      <c r="C70" s="73"/>
      <c r="D70" s="73"/>
      <c r="E70" s="73"/>
      <c r="F70" s="73"/>
      <c r="G70" s="73"/>
      <c r="H70" s="73"/>
      <c r="I70" s="73"/>
      <c r="J70" s="73"/>
      <c r="K70" s="73"/>
      <c r="L70" s="73"/>
      <c r="M70" s="73"/>
      <c r="N70" s="73"/>
      <c r="O70" s="73"/>
      <c r="P70" s="73"/>
      <c r="Q70" s="73"/>
      <c r="R70" s="73"/>
      <c r="S70" s="73"/>
      <c r="T70" s="73"/>
    </row>
    <row r="71" spans="1:20" ht="12.75">
      <c r="A71" s="73"/>
      <c r="B71" s="73"/>
      <c r="C71" s="73"/>
      <c r="D71" s="73"/>
      <c r="E71" s="73"/>
      <c r="F71" s="73"/>
      <c r="G71" s="73"/>
      <c r="H71" s="73"/>
      <c r="I71" s="73"/>
      <c r="J71" s="73"/>
      <c r="K71" s="73"/>
      <c r="L71" s="73"/>
      <c r="M71" s="73"/>
      <c r="N71" s="73"/>
      <c r="O71" s="73"/>
      <c r="P71" s="73"/>
      <c r="Q71" s="73"/>
      <c r="R71" s="73"/>
      <c r="S71" s="73"/>
      <c r="T71" s="73"/>
    </row>
    <row r="72" spans="1:20" ht="12.75">
      <c r="A72" s="73"/>
      <c r="B72" s="73"/>
      <c r="C72" s="73"/>
      <c r="D72" s="73"/>
      <c r="E72" s="73"/>
      <c r="F72" s="73"/>
      <c r="G72" s="73"/>
      <c r="H72" s="73"/>
      <c r="I72" s="73"/>
      <c r="J72" s="73"/>
      <c r="K72" s="73"/>
      <c r="L72" s="73"/>
      <c r="M72" s="73"/>
      <c r="N72" s="73"/>
      <c r="O72" s="73"/>
      <c r="P72" s="73"/>
      <c r="Q72" s="73"/>
      <c r="R72" s="73"/>
      <c r="S72" s="73"/>
      <c r="T72" s="73"/>
    </row>
  </sheetData>
  <mergeCells count="16">
    <mergeCell ref="K38:S38"/>
    <mergeCell ref="A54:I54"/>
    <mergeCell ref="K54:S54"/>
    <mergeCell ref="A55:I55"/>
    <mergeCell ref="K55:S55"/>
    <mergeCell ref="A38:I38"/>
    <mergeCell ref="K20:S20"/>
    <mergeCell ref="A21:I21"/>
    <mergeCell ref="K21:S21"/>
    <mergeCell ref="A37:I37"/>
    <mergeCell ref="K37:S37"/>
    <mergeCell ref="A20:I20"/>
    <mergeCell ref="A1:I1"/>
    <mergeCell ref="A18:E18"/>
    <mergeCell ref="K1:T1"/>
    <mergeCell ref="K18:O18"/>
  </mergeCells>
  <printOptions horizontalCentered="1" verticalCentered="1"/>
  <pageMargins left="0.8" right="0.5905511811023623" top="0.7086614173228347" bottom="0.6692913385826772" header="0.5118110236220472" footer="0.5118110236220472"/>
  <pageSetup horizontalDpi="600" verticalDpi="600" orientation="portrait" paperSize="9" scale="68"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J43"/>
  <sheetViews>
    <sheetView zoomScale="75" zoomScaleNormal="75" workbookViewId="0" topLeftCell="A1">
      <selection activeCell="A40" sqref="A40:B40"/>
    </sheetView>
  </sheetViews>
  <sheetFormatPr defaultColWidth="9.140625" defaultRowHeight="12.75"/>
  <cols>
    <col min="1" max="1" width="36.8515625" style="1" customWidth="1"/>
    <col min="2" max="2" width="11.28125" style="2" customWidth="1"/>
    <col min="3" max="3" width="9.7109375" style="3" customWidth="1"/>
    <col min="4" max="4" width="10.7109375" style="2" customWidth="1"/>
    <col min="5" max="5" width="11.28125" style="2" customWidth="1"/>
    <col min="6" max="6" width="9.7109375" style="3" customWidth="1"/>
    <col min="7" max="7" width="11.140625" style="2" customWidth="1"/>
    <col min="8" max="8" width="11.28125" style="2" customWidth="1"/>
    <col min="9" max="9" width="9.7109375" style="3" customWidth="1"/>
    <col min="10" max="10" width="11.421875" style="2" customWidth="1"/>
    <col min="11" max="16384" width="9.140625" style="1" customWidth="1"/>
  </cols>
  <sheetData>
    <row r="2" ht="12.75" thickBot="1"/>
    <row r="3" spans="1:10" ht="12.75" thickBot="1">
      <c r="A3" s="205" t="s">
        <v>166</v>
      </c>
      <c r="B3" s="206"/>
      <c r="C3" s="206"/>
      <c r="D3" s="206"/>
      <c r="E3" s="206"/>
      <c r="F3" s="206"/>
      <c r="G3" s="206"/>
      <c r="H3" s="206"/>
      <c r="I3" s="206"/>
      <c r="J3" s="207"/>
    </row>
    <row r="4" spans="1:10" ht="12.75" thickBot="1">
      <c r="A4" s="208" t="s">
        <v>173</v>
      </c>
      <c r="B4" s="208"/>
      <c r="C4" s="208"/>
      <c r="D4" s="208"/>
      <c r="E4" s="208"/>
      <c r="F4" s="208"/>
      <c r="G4" s="208"/>
      <c r="H4" s="208"/>
      <c r="I4" s="208"/>
      <c r="J4" s="208"/>
    </row>
    <row r="5" spans="1:10" ht="12.75" thickBot="1">
      <c r="A5" s="209" t="s">
        <v>2</v>
      </c>
      <c r="B5" s="211" t="s">
        <v>55</v>
      </c>
      <c r="C5" s="212"/>
      <c r="D5" s="213"/>
      <c r="E5" s="211" t="s">
        <v>0</v>
      </c>
      <c r="F5" s="212"/>
      <c r="G5" s="213"/>
      <c r="H5" s="211" t="s">
        <v>70</v>
      </c>
      <c r="I5" s="212"/>
      <c r="J5" s="213"/>
    </row>
    <row r="6" spans="1:10" ht="12.75" thickBot="1">
      <c r="A6" s="210"/>
      <c r="B6" s="38" t="s">
        <v>3</v>
      </c>
      <c r="C6" s="39" t="s">
        <v>4</v>
      </c>
      <c r="D6" s="40" t="s">
        <v>5</v>
      </c>
      <c r="E6" s="29" t="s">
        <v>3</v>
      </c>
      <c r="F6" s="30" t="s">
        <v>4</v>
      </c>
      <c r="G6" s="31" t="s">
        <v>5</v>
      </c>
      <c r="H6" s="29" t="s">
        <v>3</v>
      </c>
      <c r="I6" s="30" t="s">
        <v>4</v>
      </c>
      <c r="J6" s="31" t="s">
        <v>5</v>
      </c>
    </row>
    <row r="7" spans="1:10" ht="12">
      <c r="A7" s="36" t="s">
        <v>31</v>
      </c>
      <c r="B7" s="74">
        <f>3000</f>
        <v>3000</v>
      </c>
      <c r="C7" s="7">
        <v>1</v>
      </c>
      <c r="D7" s="18">
        <f>B7*C7</f>
        <v>3000</v>
      </c>
      <c r="E7" s="74">
        <f>+B7</f>
        <v>3000</v>
      </c>
      <c r="F7" s="7">
        <v>1</v>
      </c>
      <c r="G7" s="18">
        <f>E7*F7</f>
        <v>3000</v>
      </c>
      <c r="H7" s="74">
        <f>+E7</f>
        <v>3000</v>
      </c>
      <c r="I7" s="7">
        <v>1</v>
      </c>
      <c r="J7" s="18">
        <f>H7*I7</f>
        <v>3000</v>
      </c>
    </row>
    <row r="8" spans="1:10" ht="12">
      <c r="A8" s="26" t="s">
        <v>32</v>
      </c>
      <c r="B8" s="19">
        <v>1000</v>
      </c>
      <c r="C8" s="9">
        <v>1</v>
      </c>
      <c r="D8" s="20">
        <f aca="true" t="shared" si="0" ref="D8:D28">B8*C8</f>
        <v>1000</v>
      </c>
      <c r="E8" s="75">
        <f aca="true" t="shared" si="1" ref="E8:E32">+B8</f>
        <v>1000</v>
      </c>
      <c r="F8" s="23">
        <v>1</v>
      </c>
      <c r="G8" s="76">
        <f aca="true" t="shared" si="2" ref="G8:G35">E8*F8</f>
        <v>1000</v>
      </c>
      <c r="H8" s="75">
        <f aca="true" t="shared" si="3" ref="H8:H35">+E8</f>
        <v>1000</v>
      </c>
      <c r="I8" s="23">
        <v>1</v>
      </c>
      <c r="J8" s="76">
        <f aca="true" t="shared" si="4" ref="J8:J35">H8*I8</f>
        <v>1000</v>
      </c>
    </row>
    <row r="9" spans="1:10" ht="12">
      <c r="A9" s="26" t="s">
        <v>33</v>
      </c>
      <c r="B9" s="19">
        <v>1000</v>
      </c>
      <c r="C9" s="9">
        <v>1</v>
      </c>
      <c r="D9" s="20">
        <f t="shared" si="0"/>
        <v>1000</v>
      </c>
      <c r="E9" s="75">
        <v>1500</v>
      </c>
      <c r="F9" s="23">
        <v>1</v>
      </c>
      <c r="G9" s="76">
        <f t="shared" si="2"/>
        <v>1500</v>
      </c>
      <c r="H9" s="75">
        <f>+E9</f>
        <v>1500</v>
      </c>
      <c r="I9" s="23">
        <v>1</v>
      </c>
      <c r="J9" s="76">
        <f t="shared" si="4"/>
        <v>1500</v>
      </c>
    </row>
    <row r="10" spans="1:10" ht="12">
      <c r="A10" s="26" t="s">
        <v>34</v>
      </c>
      <c r="B10" s="19">
        <v>7</v>
      </c>
      <c r="C10" s="9">
        <f>150*20</f>
        <v>3000</v>
      </c>
      <c r="D10" s="20">
        <f t="shared" si="0"/>
        <v>21000</v>
      </c>
      <c r="E10" s="19">
        <v>7</v>
      </c>
      <c r="F10" s="9">
        <f>150*20</f>
        <v>3000</v>
      </c>
      <c r="G10" s="20">
        <f t="shared" si="2"/>
        <v>21000</v>
      </c>
      <c r="H10" s="19">
        <v>7</v>
      </c>
      <c r="I10" s="9">
        <f>150*20</f>
        <v>3000</v>
      </c>
      <c r="J10" s="20">
        <f t="shared" si="4"/>
        <v>21000</v>
      </c>
    </row>
    <row r="11" spans="1:10" ht="12">
      <c r="A11" s="26" t="s">
        <v>35</v>
      </c>
      <c r="B11" s="19">
        <v>500</v>
      </c>
      <c r="C11" s="9">
        <v>1</v>
      </c>
      <c r="D11" s="20">
        <f t="shared" si="0"/>
        <v>500</v>
      </c>
      <c r="E11" s="75">
        <f t="shared" si="1"/>
        <v>500</v>
      </c>
      <c r="F11" s="9">
        <v>1</v>
      </c>
      <c r="G11" s="76">
        <f t="shared" si="2"/>
        <v>500</v>
      </c>
      <c r="H11" s="75">
        <f t="shared" si="3"/>
        <v>500</v>
      </c>
      <c r="I11" s="23">
        <v>1</v>
      </c>
      <c r="J11" s="76">
        <f t="shared" si="4"/>
        <v>500</v>
      </c>
    </row>
    <row r="12" spans="1:10" ht="12">
      <c r="A12" s="26" t="s">
        <v>24</v>
      </c>
      <c r="B12" s="19">
        <v>500</v>
      </c>
      <c r="C12" s="9">
        <v>1</v>
      </c>
      <c r="D12" s="20">
        <f t="shared" si="0"/>
        <v>500</v>
      </c>
      <c r="E12" s="75">
        <f t="shared" si="1"/>
        <v>500</v>
      </c>
      <c r="F12" s="9">
        <v>1</v>
      </c>
      <c r="G12" s="76">
        <f t="shared" si="2"/>
        <v>500</v>
      </c>
      <c r="H12" s="75">
        <f t="shared" si="3"/>
        <v>500</v>
      </c>
      <c r="I12" s="23">
        <v>1</v>
      </c>
      <c r="J12" s="76">
        <f t="shared" si="4"/>
        <v>500</v>
      </c>
    </row>
    <row r="13" spans="1:10" ht="12">
      <c r="A13" s="26" t="s">
        <v>36</v>
      </c>
      <c r="B13" s="19">
        <v>600</v>
      </c>
      <c r="C13" s="9">
        <v>1</v>
      </c>
      <c r="D13" s="20">
        <f t="shared" si="0"/>
        <v>600</v>
      </c>
      <c r="E13" s="75">
        <f t="shared" si="1"/>
        <v>600</v>
      </c>
      <c r="F13" s="9">
        <v>1</v>
      </c>
      <c r="G13" s="76">
        <f t="shared" si="2"/>
        <v>600</v>
      </c>
      <c r="H13" s="75">
        <f t="shared" si="3"/>
        <v>600</v>
      </c>
      <c r="I13" s="23">
        <v>1</v>
      </c>
      <c r="J13" s="76">
        <f t="shared" si="4"/>
        <v>600</v>
      </c>
    </row>
    <row r="14" spans="1:10" ht="12">
      <c r="A14" s="26" t="s">
        <v>79</v>
      </c>
      <c r="B14" s="19">
        <v>400</v>
      </c>
      <c r="C14" s="9">
        <v>1</v>
      </c>
      <c r="D14" s="20">
        <f t="shared" si="0"/>
        <v>400</v>
      </c>
      <c r="E14" s="75">
        <f t="shared" si="1"/>
        <v>400</v>
      </c>
      <c r="F14" s="9">
        <v>1</v>
      </c>
      <c r="G14" s="76">
        <f t="shared" si="2"/>
        <v>400</v>
      </c>
      <c r="H14" s="75">
        <f t="shared" si="3"/>
        <v>400</v>
      </c>
      <c r="I14" s="23">
        <v>1</v>
      </c>
      <c r="J14" s="76">
        <f t="shared" si="4"/>
        <v>400</v>
      </c>
    </row>
    <row r="15" spans="1:10" ht="12">
      <c r="A15" s="26" t="s">
        <v>42</v>
      </c>
      <c r="B15" s="19">
        <v>250</v>
      </c>
      <c r="C15" s="9">
        <v>1</v>
      </c>
      <c r="D15" s="20">
        <f t="shared" si="0"/>
        <v>250</v>
      </c>
      <c r="E15" s="75">
        <f t="shared" si="1"/>
        <v>250</v>
      </c>
      <c r="F15" s="9">
        <v>1</v>
      </c>
      <c r="G15" s="76">
        <f t="shared" si="2"/>
        <v>250</v>
      </c>
      <c r="H15" s="75">
        <f t="shared" si="3"/>
        <v>250</v>
      </c>
      <c r="I15" s="9">
        <v>1</v>
      </c>
      <c r="J15" s="76">
        <f t="shared" si="4"/>
        <v>250</v>
      </c>
    </row>
    <row r="16" spans="1:10" ht="12">
      <c r="A16" s="26" t="s">
        <v>37</v>
      </c>
      <c r="B16" s="19">
        <v>250</v>
      </c>
      <c r="C16" s="9">
        <v>1</v>
      </c>
      <c r="D16" s="20">
        <f t="shared" si="0"/>
        <v>250</v>
      </c>
      <c r="E16" s="75">
        <f t="shared" si="1"/>
        <v>250</v>
      </c>
      <c r="F16" s="9">
        <v>1</v>
      </c>
      <c r="G16" s="76">
        <f t="shared" si="2"/>
        <v>250</v>
      </c>
      <c r="H16" s="75">
        <f t="shared" si="3"/>
        <v>250</v>
      </c>
      <c r="I16" s="9">
        <v>1</v>
      </c>
      <c r="J16" s="76">
        <f t="shared" si="4"/>
        <v>250</v>
      </c>
    </row>
    <row r="17" spans="1:10" ht="12">
      <c r="A17" s="26" t="s">
        <v>80</v>
      </c>
      <c r="B17" s="19">
        <v>1000</v>
      </c>
      <c r="C17" s="9">
        <v>1</v>
      </c>
      <c r="D17" s="20">
        <f t="shared" si="0"/>
        <v>1000</v>
      </c>
      <c r="E17" s="75">
        <f t="shared" si="1"/>
        <v>1000</v>
      </c>
      <c r="F17" s="9">
        <v>1</v>
      </c>
      <c r="G17" s="76">
        <f t="shared" si="2"/>
        <v>1000</v>
      </c>
      <c r="H17" s="75">
        <f t="shared" si="3"/>
        <v>1000</v>
      </c>
      <c r="I17" s="9">
        <v>1</v>
      </c>
      <c r="J17" s="76">
        <f t="shared" si="4"/>
        <v>1000</v>
      </c>
    </row>
    <row r="18" spans="1:10" ht="12">
      <c r="A18" s="26" t="s">
        <v>81</v>
      </c>
      <c r="B18" s="19">
        <v>300</v>
      </c>
      <c r="C18" s="9">
        <v>1</v>
      </c>
      <c r="D18" s="20">
        <f t="shared" si="0"/>
        <v>300</v>
      </c>
      <c r="E18" s="75">
        <f t="shared" si="1"/>
        <v>300</v>
      </c>
      <c r="F18" s="9">
        <v>1</v>
      </c>
      <c r="G18" s="76">
        <f t="shared" si="2"/>
        <v>300</v>
      </c>
      <c r="H18" s="75">
        <f t="shared" si="3"/>
        <v>300</v>
      </c>
      <c r="I18" s="9">
        <v>1</v>
      </c>
      <c r="J18" s="76">
        <f t="shared" si="4"/>
        <v>300</v>
      </c>
    </row>
    <row r="19" spans="1:10" ht="12">
      <c r="A19" s="26" t="s">
        <v>38</v>
      </c>
      <c r="B19" s="19">
        <v>400</v>
      </c>
      <c r="C19" s="9">
        <v>1</v>
      </c>
      <c r="D19" s="20">
        <f t="shared" si="0"/>
        <v>400</v>
      </c>
      <c r="E19" s="75">
        <f t="shared" si="1"/>
        <v>400</v>
      </c>
      <c r="F19" s="9">
        <v>1</v>
      </c>
      <c r="G19" s="76">
        <f t="shared" si="2"/>
        <v>400</v>
      </c>
      <c r="H19" s="75">
        <f t="shared" si="3"/>
        <v>400</v>
      </c>
      <c r="I19" s="9">
        <v>1</v>
      </c>
      <c r="J19" s="76">
        <f t="shared" si="4"/>
        <v>400</v>
      </c>
    </row>
    <row r="20" spans="1:10" ht="12">
      <c r="A20" s="26" t="s">
        <v>39</v>
      </c>
      <c r="B20" s="19">
        <v>1000</v>
      </c>
      <c r="C20" s="9">
        <v>1</v>
      </c>
      <c r="D20" s="20">
        <f t="shared" si="0"/>
        <v>1000</v>
      </c>
      <c r="E20" s="75">
        <f t="shared" si="1"/>
        <v>1000</v>
      </c>
      <c r="F20" s="9">
        <v>1</v>
      </c>
      <c r="G20" s="76">
        <f t="shared" si="2"/>
        <v>1000</v>
      </c>
      <c r="H20" s="75">
        <f t="shared" si="3"/>
        <v>1000</v>
      </c>
      <c r="I20" s="9">
        <v>1</v>
      </c>
      <c r="J20" s="76">
        <f t="shared" si="4"/>
        <v>1000</v>
      </c>
    </row>
    <row r="21" spans="1:10" ht="12">
      <c r="A21" s="26" t="s">
        <v>27</v>
      </c>
      <c r="B21" s="19">
        <v>400</v>
      </c>
      <c r="C21" s="9">
        <v>1</v>
      </c>
      <c r="D21" s="20">
        <f t="shared" si="0"/>
        <v>400</v>
      </c>
      <c r="E21" s="75">
        <f t="shared" si="1"/>
        <v>400</v>
      </c>
      <c r="F21" s="9">
        <v>1</v>
      </c>
      <c r="G21" s="76">
        <f t="shared" si="2"/>
        <v>400</v>
      </c>
      <c r="H21" s="75">
        <f t="shared" si="3"/>
        <v>400</v>
      </c>
      <c r="I21" s="9">
        <v>1</v>
      </c>
      <c r="J21" s="76">
        <f t="shared" si="4"/>
        <v>400</v>
      </c>
    </row>
    <row r="22" spans="1:10" ht="12">
      <c r="A22" s="26" t="s">
        <v>40</v>
      </c>
      <c r="B22" s="19">
        <v>100</v>
      </c>
      <c r="C22" s="9">
        <v>1</v>
      </c>
      <c r="D22" s="20">
        <f t="shared" si="0"/>
        <v>100</v>
      </c>
      <c r="E22" s="75">
        <f t="shared" si="1"/>
        <v>100</v>
      </c>
      <c r="F22" s="9">
        <v>1</v>
      </c>
      <c r="G22" s="76">
        <f t="shared" si="2"/>
        <v>100</v>
      </c>
      <c r="H22" s="75">
        <f t="shared" si="3"/>
        <v>100</v>
      </c>
      <c r="I22" s="9">
        <v>1</v>
      </c>
      <c r="J22" s="76">
        <f t="shared" si="4"/>
        <v>100</v>
      </c>
    </row>
    <row r="23" spans="1:10" ht="12">
      <c r="A23" s="26" t="s">
        <v>41</v>
      </c>
      <c r="B23" s="19">
        <v>2000</v>
      </c>
      <c r="C23" s="9">
        <v>1</v>
      </c>
      <c r="D23" s="20">
        <f t="shared" si="0"/>
        <v>2000</v>
      </c>
      <c r="E23" s="75">
        <f t="shared" si="1"/>
        <v>2000</v>
      </c>
      <c r="F23" s="9">
        <v>1</v>
      </c>
      <c r="G23" s="76">
        <f t="shared" si="2"/>
        <v>2000</v>
      </c>
      <c r="H23" s="75">
        <f t="shared" si="3"/>
        <v>2000</v>
      </c>
      <c r="I23" s="9">
        <v>1</v>
      </c>
      <c r="J23" s="76">
        <f t="shared" si="4"/>
        <v>2000</v>
      </c>
    </row>
    <row r="24" spans="1:10" ht="12">
      <c r="A24" s="26" t="s">
        <v>47</v>
      </c>
      <c r="B24" s="19"/>
      <c r="C24" s="9"/>
      <c r="D24" s="20"/>
      <c r="E24" s="75">
        <v>2500</v>
      </c>
      <c r="F24" s="9">
        <v>1</v>
      </c>
      <c r="G24" s="76">
        <f t="shared" si="2"/>
        <v>2500</v>
      </c>
      <c r="H24" s="75">
        <f t="shared" si="3"/>
        <v>2500</v>
      </c>
      <c r="I24" s="9">
        <v>1</v>
      </c>
      <c r="J24" s="76">
        <f t="shared" si="4"/>
        <v>2500</v>
      </c>
    </row>
    <row r="25" spans="1:10" ht="12">
      <c r="A25" s="26" t="s">
        <v>48</v>
      </c>
      <c r="B25" s="19"/>
      <c r="C25" s="9"/>
      <c r="D25" s="20"/>
      <c r="E25" s="75">
        <f t="shared" si="1"/>
        <v>0</v>
      </c>
      <c r="F25" s="9">
        <v>1</v>
      </c>
      <c r="G25" s="76">
        <f t="shared" si="2"/>
        <v>0</v>
      </c>
      <c r="H25" s="75">
        <f t="shared" si="3"/>
        <v>0</v>
      </c>
      <c r="I25" s="9">
        <v>1</v>
      </c>
      <c r="J25" s="76">
        <f t="shared" si="4"/>
        <v>0</v>
      </c>
    </row>
    <row r="26" spans="1:10" ht="12">
      <c r="A26" s="26" t="s">
        <v>49</v>
      </c>
      <c r="B26" s="19"/>
      <c r="C26" s="9"/>
      <c r="D26" s="20"/>
      <c r="E26" s="75"/>
      <c r="F26" s="9"/>
      <c r="G26" s="76">
        <f t="shared" si="2"/>
        <v>0</v>
      </c>
      <c r="H26" s="75">
        <v>1000</v>
      </c>
      <c r="I26" s="9"/>
      <c r="J26" s="76">
        <f t="shared" si="4"/>
        <v>0</v>
      </c>
    </row>
    <row r="27" spans="1:10" ht="12">
      <c r="A27" s="26" t="s">
        <v>50</v>
      </c>
      <c r="B27" s="19"/>
      <c r="C27" s="9"/>
      <c r="D27" s="20"/>
      <c r="E27" s="75"/>
      <c r="F27" s="9"/>
      <c r="G27" s="76">
        <f t="shared" si="2"/>
        <v>0</v>
      </c>
      <c r="H27" s="75"/>
      <c r="I27" s="9"/>
      <c r="J27" s="76">
        <f t="shared" si="4"/>
        <v>0</v>
      </c>
    </row>
    <row r="28" spans="1:10" ht="12">
      <c r="A28" s="26" t="s">
        <v>167</v>
      </c>
      <c r="B28" s="19">
        <v>6000</v>
      </c>
      <c r="C28" s="9">
        <v>1</v>
      </c>
      <c r="D28" s="20">
        <f t="shared" si="0"/>
        <v>6000</v>
      </c>
      <c r="E28" s="75">
        <v>6000</v>
      </c>
      <c r="F28" s="9">
        <v>1</v>
      </c>
      <c r="G28" s="76">
        <v>6000</v>
      </c>
      <c r="H28" s="75">
        <f t="shared" si="3"/>
        <v>6000</v>
      </c>
      <c r="I28" s="9">
        <v>1</v>
      </c>
      <c r="J28" s="76">
        <f t="shared" si="4"/>
        <v>6000</v>
      </c>
    </row>
    <row r="29" spans="1:10" ht="12">
      <c r="A29" s="26" t="s">
        <v>51</v>
      </c>
      <c r="B29" s="19"/>
      <c r="C29" s="9"/>
      <c r="D29" s="20"/>
      <c r="E29" s="75"/>
      <c r="F29" s="9"/>
      <c r="G29" s="76">
        <f t="shared" si="2"/>
        <v>0</v>
      </c>
      <c r="H29" s="75">
        <v>1000</v>
      </c>
      <c r="I29" s="9">
        <v>1</v>
      </c>
      <c r="J29" s="76">
        <f t="shared" si="4"/>
        <v>1000</v>
      </c>
    </row>
    <row r="30" spans="1:10" ht="12">
      <c r="A30" s="26" t="s">
        <v>52</v>
      </c>
      <c r="B30" s="19"/>
      <c r="C30" s="9"/>
      <c r="D30" s="20"/>
      <c r="E30" s="75"/>
      <c r="F30" s="9"/>
      <c r="G30" s="76">
        <f t="shared" si="2"/>
        <v>0</v>
      </c>
      <c r="H30" s="75">
        <v>1000</v>
      </c>
      <c r="I30" s="9">
        <v>1</v>
      </c>
      <c r="J30" s="76">
        <f t="shared" si="4"/>
        <v>1000</v>
      </c>
    </row>
    <row r="31" spans="1:10" ht="12">
      <c r="A31" s="26" t="s">
        <v>53</v>
      </c>
      <c r="B31" s="19"/>
      <c r="C31" s="9"/>
      <c r="D31" s="20"/>
      <c r="E31" s="75">
        <f t="shared" si="1"/>
        <v>0</v>
      </c>
      <c r="F31" s="9">
        <v>1</v>
      </c>
      <c r="G31" s="76">
        <f t="shared" si="2"/>
        <v>0</v>
      </c>
      <c r="H31" s="75">
        <f t="shared" si="3"/>
        <v>0</v>
      </c>
      <c r="I31" s="9">
        <v>1</v>
      </c>
      <c r="J31" s="76">
        <f t="shared" si="4"/>
        <v>0</v>
      </c>
    </row>
    <row r="32" spans="1:10" ht="12">
      <c r="A32" s="26" t="s">
        <v>54</v>
      </c>
      <c r="B32" s="19"/>
      <c r="C32" s="9"/>
      <c r="D32" s="20"/>
      <c r="E32" s="75">
        <f t="shared" si="1"/>
        <v>0</v>
      </c>
      <c r="F32" s="9">
        <v>1</v>
      </c>
      <c r="G32" s="76">
        <f t="shared" si="2"/>
        <v>0</v>
      </c>
      <c r="H32" s="75">
        <f t="shared" si="3"/>
        <v>0</v>
      </c>
      <c r="I32" s="9">
        <v>1</v>
      </c>
      <c r="J32" s="76">
        <f t="shared" si="4"/>
        <v>0</v>
      </c>
    </row>
    <row r="33" spans="1:10" ht="12">
      <c r="A33" s="26" t="s">
        <v>26</v>
      </c>
      <c r="B33" s="19"/>
      <c r="C33" s="9"/>
      <c r="D33" s="20"/>
      <c r="E33" s="75">
        <v>1000</v>
      </c>
      <c r="F33" s="9">
        <v>1</v>
      </c>
      <c r="G33" s="76">
        <f t="shared" si="2"/>
        <v>1000</v>
      </c>
      <c r="H33" s="75">
        <f t="shared" si="3"/>
        <v>1000</v>
      </c>
      <c r="I33" s="9">
        <v>1</v>
      </c>
      <c r="J33" s="76">
        <f t="shared" si="4"/>
        <v>1000</v>
      </c>
    </row>
    <row r="34" spans="1:10" ht="12">
      <c r="A34" s="26" t="s">
        <v>68</v>
      </c>
      <c r="B34" s="19"/>
      <c r="C34" s="9"/>
      <c r="D34" s="20"/>
      <c r="E34" s="75">
        <v>1000</v>
      </c>
      <c r="F34" s="9">
        <v>1</v>
      </c>
      <c r="G34" s="76">
        <f t="shared" si="2"/>
        <v>1000</v>
      </c>
      <c r="H34" s="75">
        <f t="shared" si="3"/>
        <v>1000</v>
      </c>
      <c r="I34" s="9">
        <v>1</v>
      </c>
      <c r="J34" s="76">
        <f t="shared" si="4"/>
        <v>1000</v>
      </c>
    </row>
    <row r="35" spans="1:10" ht="12">
      <c r="A35" s="26" t="s">
        <v>69</v>
      </c>
      <c r="B35" s="19"/>
      <c r="C35" s="9"/>
      <c r="D35" s="20"/>
      <c r="E35" s="75">
        <v>1000</v>
      </c>
      <c r="F35" s="9">
        <v>1</v>
      </c>
      <c r="G35" s="76">
        <f t="shared" si="2"/>
        <v>1000</v>
      </c>
      <c r="H35" s="75">
        <f t="shared" si="3"/>
        <v>1000</v>
      </c>
      <c r="I35" s="9">
        <v>1</v>
      </c>
      <c r="J35" s="76">
        <f t="shared" si="4"/>
        <v>1000</v>
      </c>
    </row>
    <row r="36" spans="1:10" ht="12">
      <c r="A36" s="26"/>
      <c r="B36" s="19"/>
      <c r="C36" s="9"/>
      <c r="D36" s="10"/>
      <c r="E36" s="8"/>
      <c r="F36" s="9"/>
      <c r="G36" s="10"/>
      <c r="H36" s="24"/>
      <c r="I36" s="23"/>
      <c r="J36" s="25"/>
    </row>
    <row r="37" spans="1:10" ht="12">
      <c r="A37" s="26"/>
      <c r="B37" s="8"/>
      <c r="C37" s="9"/>
      <c r="D37" s="10"/>
      <c r="E37" s="8"/>
      <c r="F37" s="9"/>
      <c r="G37" s="10"/>
      <c r="H37" s="24"/>
      <c r="I37" s="23"/>
      <c r="J37" s="25"/>
    </row>
    <row r="38" spans="1:10" ht="12">
      <c r="A38" s="37" t="s">
        <v>65</v>
      </c>
      <c r="B38" s="8"/>
      <c r="C38" s="9"/>
      <c r="D38" s="10">
        <f>SUM(D7:D37)</f>
        <v>39700</v>
      </c>
      <c r="E38" s="8"/>
      <c r="F38" s="9"/>
      <c r="G38" s="10">
        <f>SUM(G7:G37)</f>
        <v>45700</v>
      </c>
      <c r="H38" s="24"/>
      <c r="I38" s="23"/>
      <c r="J38" s="10">
        <f>SUM(J7:J37)</f>
        <v>47700</v>
      </c>
    </row>
    <row r="39" spans="1:10" ht="12">
      <c r="A39" s="113"/>
      <c r="B39" s="114"/>
      <c r="C39" s="9"/>
      <c r="D39" s="10"/>
      <c r="E39" s="8"/>
      <c r="F39" s="9"/>
      <c r="G39" s="10"/>
      <c r="H39" s="24"/>
      <c r="I39" s="23"/>
      <c r="J39" s="10"/>
    </row>
    <row r="40" spans="1:10" ht="12">
      <c r="A40" s="203" t="s">
        <v>174</v>
      </c>
      <c r="B40" s="204"/>
      <c r="C40" s="28"/>
      <c r="D40" s="32">
        <f>D38/150</f>
        <v>264.6666666666667</v>
      </c>
      <c r="E40" s="24"/>
      <c r="F40" s="23"/>
      <c r="G40" s="32">
        <f>G38/150</f>
        <v>304.6666666666667</v>
      </c>
      <c r="H40" s="24"/>
      <c r="I40" s="23"/>
      <c r="J40" s="32">
        <f>J38/150</f>
        <v>318</v>
      </c>
    </row>
    <row r="41" spans="1:10" ht="12">
      <c r="A41" s="203" t="s">
        <v>175</v>
      </c>
      <c r="B41" s="204"/>
      <c r="C41" s="23"/>
      <c r="D41" s="32">
        <f>D40/3*4</f>
        <v>352.8888888888889</v>
      </c>
      <c r="E41" s="67"/>
      <c r="F41" s="66"/>
      <c r="G41" s="32">
        <f>G40/3*4</f>
        <v>406.22222222222223</v>
      </c>
      <c r="H41" s="67"/>
      <c r="I41" s="66"/>
      <c r="J41" s="32">
        <f>J40/3*4</f>
        <v>424</v>
      </c>
    </row>
    <row r="42" spans="1:10" ht="12">
      <c r="A42" s="26"/>
      <c r="B42" s="24"/>
      <c r="C42" s="23"/>
      <c r="D42" s="25"/>
      <c r="E42" s="24"/>
      <c r="F42" s="23"/>
      <c r="G42" s="25"/>
      <c r="H42" s="24"/>
      <c r="I42" s="23"/>
      <c r="J42" s="25"/>
    </row>
    <row r="43" spans="1:10" ht="12.75" thickBot="1">
      <c r="A43" s="27"/>
      <c r="B43" s="33"/>
      <c r="C43" s="34"/>
      <c r="D43" s="35"/>
      <c r="E43" s="33"/>
      <c r="F43" s="34"/>
      <c r="G43" s="35"/>
      <c r="H43" s="33"/>
      <c r="I43" s="34"/>
      <c r="J43" s="35"/>
    </row>
  </sheetData>
  <mergeCells count="8">
    <mergeCell ref="A40:B40"/>
    <mergeCell ref="A41:B41"/>
    <mergeCell ref="A3:J3"/>
    <mergeCell ref="A4:J4"/>
    <mergeCell ref="A5:A6"/>
    <mergeCell ref="B5:D5"/>
    <mergeCell ref="E5:G5"/>
    <mergeCell ref="H5:J5"/>
  </mergeCells>
  <printOptions/>
  <pageMargins left="0.75" right="0.26" top="0.78" bottom="1" header="0.5" footer="0.5"/>
  <pageSetup fitToHeight="1" fitToWidth="1" horizontalDpi="300" verticalDpi="300" orientation="landscape" scale="9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312"/>
  <sheetViews>
    <sheetView zoomScale="75" zoomScaleNormal="75" workbookViewId="0" topLeftCell="G31">
      <selection activeCell="K1" sqref="K1:S68"/>
    </sheetView>
  </sheetViews>
  <sheetFormatPr defaultColWidth="9.140625" defaultRowHeight="12.75"/>
  <cols>
    <col min="1" max="1" width="15.7109375" style="0" customWidth="1"/>
    <col min="2" max="3" width="13.28125" style="0" customWidth="1"/>
    <col min="4" max="4" width="9.7109375" style="0" customWidth="1"/>
    <col min="5" max="9" width="14.28125" style="0" customWidth="1"/>
    <col min="10" max="10" width="5.00390625" style="0" customWidth="1"/>
    <col min="11" max="11" width="15.7109375" style="0" customWidth="1"/>
    <col min="12" max="13" width="13.28125" style="0" customWidth="1"/>
    <col min="14" max="14" width="8.7109375" style="0" customWidth="1"/>
    <col min="15" max="19" width="14.28125" style="0" customWidth="1"/>
  </cols>
  <sheetData>
    <row r="1" spans="1:19" ht="12.75">
      <c r="A1" s="190" t="s">
        <v>128</v>
      </c>
      <c r="B1" s="190"/>
      <c r="C1" s="190"/>
      <c r="D1" s="190"/>
      <c r="E1" s="190"/>
      <c r="F1" s="190"/>
      <c r="G1" s="190"/>
      <c r="H1" s="190"/>
      <c r="I1" s="190"/>
      <c r="J1" s="73"/>
      <c r="K1" s="192" t="s">
        <v>155</v>
      </c>
      <c r="L1" s="192"/>
      <c r="M1" s="192"/>
      <c r="N1" s="192"/>
      <c r="O1" s="192"/>
      <c r="P1" s="192"/>
      <c r="Q1" s="192"/>
      <c r="R1" s="192"/>
      <c r="S1" s="192"/>
    </row>
    <row r="2" spans="1:19" ht="13.5" thickBot="1">
      <c r="A2" s="73"/>
      <c r="B2" s="73"/>
      <c r="C2" s="73"/>
      <c r="D2" s="73"/>
      <c r="E2" s="73"/>
      <c r="F2" s="73"/>
      <c r="G2" s="73"/>
      <c r="H2" s="73"/>
      <c r="I2" s="73"/>
      <c r="J2" s="73"/>
      <c r="K2" s="77"/>
      <c r="L2" s="77"/>
      <c r="M2" s="77"/>
      <c r="N2" s="77"/>
      <c r="O2" s="77"/>
      <c r="P2" s="77"/>
      <c r="Q2" s="77"/>
      <c r="R2" s="77"/>
      <c r="S2" s="77"/>
    </row>
    <row r="3" spans="1:19" ht="24">
      <c r="A3" s="78"/>
      <c r="B3" s="79" t="s">
        <v>129</v>
      </c>
      <c r="C3" s="79" t="s">
        <v>145</v>
      </c>
      <c r="D3" s="79" t="s">
        <v>131</v>
      </c>
      <c r="E3" s="79" t="s">
        <v>191</v>
      </c>
      <c r="F3" s="79" t="s">
        <v>192</v>
      </c>
      <c r="G3" s="79" t="s">
        <v>193</v>
      </c>
      <c r="H3" s="79" t="s">
        <v>194</v>
      </c>
      <c r="I3" s="79" t="s">
        <v>195</v>
      </c>
      <c r="J3" s="81"/>
      <c r="K3" s="78"/>
      <c r="L3" s="79" t="s">
        <v>129</v>
      </c>
      <c r="M3" s="79" t="s">
        <v>130</v>
      </c>
      <c r="N3" s="79"/>
      <c r="O3" s="79" t="s">
        <v>191</v>
      </c>
      <c r="P3" s="79" t="s">
        <v>192</v>
      </c>
      <c r="Q3" s="79" t="s">
        <v>193</v>
      </c>
      <c r="R3" s="79" t="s">
        <v>194</v>
      </c>
      <c r="S3" s="79" t="s">
        <v>195</v>
      </c>
    </row>
    <row r="4" spans="1:19" ht="12.75">
      <c r="A4" s="151" t="s">
        <v>137</v>
      </c>
      <c r="B4" s="223"/>
      <c r="C4" s="224"/>
      <c r="D4" s="224"/>
      <c r="E4" s="224"/>
      <c r="F4" s="224"/>
      <c r="G4" s="224"/>
      <c r="H4" s="224"/>
      <c r="I4" s="225"/>
      <c r="J4" s="85"/>
      <c r="K4" s="151" t="s">
        <v>137</v>
      </c>
      <c r="L4" s="223"/>
      <c r="M4" s="224"/>
      <c r="N4" s="224"/>
      <c r="O4" s="224"/>
      <c r="P4" s="224"/>
      <c r="Q4" s="224"/>
      <c r="R4" s="224"/>
      <c r="S4" s="225"/>
    </row>
    <row r="5" spans="1:19" ht="12.75">
      <c r="A5" s="86" t="s">
        <v>95</v>
      </c>
      <c r="B5" s="87">
        <v>531276</v>
      </c>
      <c r="C5" s="87">
        <v>591095</v>
      </c>
      <c r="D5" s="88">
        <f>+(C5-B5)/B5</f>
        <v>0.11259496005842537</v>
      </c>
      <c r="E5" s="87">
        <f>+C5*(1+(D5*4/5))</f>
        <v>644338.4543325879</v>
      </c>
      <c r="F5" s="87">
        <f aca="true" t="shared" si="0" ref="F5:I13">+E5*(1+($D5/5))</f>
        <v>658848.3068385249</v>
      </c>
      <c r="G5" s="87">
        <f t="shared" si="0"/>
        <v>673684.9065971338</v>
      </c>
      <c r="H5" s="87">
        <f t="shared" si="0"/>
        <v>688855.6116271875</v>
      </c>
      <c r="I5" s="87">
        <f t="shared" si="0"/>
        <v>704367.9456426245</v>
      </c>
      <c r="J5" s="90"/>
      <c r="K5" s="86" t="s">
        <v>95</v>
      </c>
      <c r="L5" s="87">
        <f>+B5*0.8699</f>
        <v>462156.9924</v>
      </c>
      <c r="M5" s="87">
        <f>+C5*0.8699</f>
        <v>514193.5405</v>
      </c>
      <c r="N5" s="88"/>
      <c r="O5" s="87">
        <f>+E5*0.8699</f>
        <v>560510.0214239182</v>
      </c>
      <c r="P5" s="87">
        <f>+F5*0.8699</f>
        <v>573132.1421188328</v>
      </c>
      <c r="Q5" s="87">
        <f>+G5*0.8699</f>
        <v>586038.5002488467</v>
      </c>
      <c r="R5" s="87">
        <f>+H5*0.8699</f>
        <v>599235.4965544904</v>
      </c>
      <c r="S5" s="87">
        <f>+I5*0.8699</f>
        <v>612729.6759145191</v>
      </c>
    </row>
    <row r="6" spans="1:19" ht="12.75">
      <c r="A6" s="86" t="s">
        <v>101</v>
      </c>
      <c r="B6" s="87">
        <v>178432</v>
      </c>
      <c r="C6" s="87">
        <v>197785</v>
      </c>
      <c r="D6" s="88">
        <f aca="true" t="shared" si="1" ref="D6:D13">+(C6-B6)/B6</f>
        <v>0.10846148672883787</v>
      </c>
      <c r="E6" s="87">
        <f aca="true" t="shared" si="2" ref="E6:E13">+C6*(1+(D6*4/5))</f>
        <v>214946.64412213053</v>
      </c>
      <c r="F6" s="87">
        <f t="shared" si="0"/>
        <v>219609.33063990268</v>
      </c>
      <c r="G6" s="87">
        <f t="shared" si="0"/>
        <v>224373.16154004843</v>
      </c>
      <c r="H6" s="87">
        <f t="shared" si="0"/>
        <v>229240.3308765851</v>
      </c>
      <c r="I6" s="87">
        <f t="shared" si="0"/>
        <v>234213.08029760214</v>
      </c>
      <c r="J6" s="90"/>
      <c r="K6" s="86" t="s">
        <v>101</v>
      </c>
      <c r="L6" s="87">
        <f aca="true" t="shared" si="3" ref="L6:M13">+B6*0.8699</f>
        <v>155217.9968</v>
      </c>
      <c r="M6" s="87">
        <f t="shared" si="3"/>
        <v>172053.1715</v>
      </c>
      <c r="N6" s="88"/>
      <c r="O6" s="87">
        <f aca="true" t="shared" si="4" ref="O6:O15">+E6*0.8699</f>
        <v>186982.08572184134</v>
      </c>
      <c r="P6" s="87">
        <f aca="true" t="shared" si="5" ref="P6:S13">+F6*0.8699</f>
        <v>191038.15672365134</v>
      </c>
      <c r="Q6" s="87">
        <f t="shared" si="5"/>
        <v>195182.21322368813</v>
      </c>
      <c r="R6" s="87">
        <f t="shared" si="5"/>
        <v>199416.1638295414</v>
      </c>
      <c r="S6" s="87">
        <f t="shared" si="5"/>
        <v>203741.9585508841</v>
      </c>
    </row>
    <row r="7" spans="1:19" ht="12.75">
      <c r="A7" s="86" t="s">
        <v>93</v>
      </c>
      <c r="B7" s="87">
        <v>456847</v>
      </c>
      <c r="C7" s="87">
        <v>544524</v>
      </c>
      <c r="D7" s="88">
        <f t="shared" si="1"/>
        <v>0.19191764420035592</v>
      </c>
      <c r="E7" s="87">
        <f t="shared" si="2"/>
        <v>628127.0106324437</v>
      </c>
      <c r="F7" s="87">
        <f t="shared" si="0"/>
        <v>652236.7418602818</v>
      </c>
      <c r="G7" s="87">
        <f t="shared" si="0"/>
        <v>677271.88965203</v>
      </c>
      <c r="H7" s="87">
        <f t="shared" si="0"/>
        <v>703267.9747610581</v>
      </c>
      <c r="I7" s="87">
        <f t="shared" si="0"/>
        <v>730261.8813525976</v>
      </c>
      <c r="J7" s="90"/>
      <c r="K7" s="86" t="s">
        <v>93</v>
      </c>
      <c r="L7" s="87">
        <f t="shared" si="3"/>
        <v>397411.20530000003</v>
      </c>
      <c r="M7" s="87">
        <f t="shared" si="3"/>
        <v>473681.4276</v>
      </c>
      <c r="N7" s="88"/>
      <c r="O7" s="87">
        <f t="shared" si="4"/>
        <v>546407.6865491628</v>
      </c>
      <c r="P7" s="87">
        <f t="shared" si="5"/>
        <v>567380.7417442591</v>
      </c>
      <c r="Q7" s="87">
        <f t="shared" si="5"/>
        <v>589158.8168083009</v>
      </c>
      <c r="R7" s="87">
        <f t="shared" si="5"/>
        <v>611772.8112446445</v>
      </c>
      <c r="S7" s="87">
        <f t="shared" si="5"/>
        <v>635254.8105886247</v>
      </c>
    </row>
    <row r="8" spans="1:19" ht="12.75">
      <c r="A8" s="86" t="s">
        <v>99</v>
      </c>
      <c r="B8" s="87">
        <v>555044</v>
      </c>
      <c r="C8" s="87">
        <v>652457</v>
      </c>
      <c r="D8" s="88">
        <f t="shared" si="1"/>
        <v>0.17550500500861194</v>
      </c>
      <c r="E8" s="87">
        <f t="shared" si="2"/>
        <v>744064.5752423231</v>
      </c>
      <c r="F8" s="87">
        <f t="shared" si="0"/>
        <v>770181.98664325</v>
      </c>
      <c r="G8" s="87">
        <f t="shared" si="0"/>
        <v>797216.1453279232</v>
      </c>
      <c r="H8" s="87">
        <f t="shared" si="0"/>
        <v>825199.2300436678</v>
      </c>
      <c r="I8" s="87">
        <f t="shared" si="0"/>
        <v>854164.5490440511</v>
      </c>
      <c r="J8" s="90"/>
      <c r="K8" s="86" t="s">
        <v>99</v>
      </c>
      <c r="L8" s="87">
        <f t="shared" si="3"/>
        <v>482832.7756</v>
      </c>
      <c r="M8" s="87">
        <f t="shared" si="3"/>
        <v>567572.3443</v>
      </c>
      <c r="N8" s="88"/>
      <c r="O8" s="87">
        <f t="shared" si="4"/>
        <v>647261.7740032969</v>
      </c>
      <c r="P8" s="87">
        <f t="shared" si="5"/>
        <v>669981.3101809631</v>
      </c>
      <c r="Q8" s="87">
        <f t="shared" si="5"/>
        <v>693498.3248207604</v>
      </c>
      <c r="R8" s="87">
        <f t="shared" si="5"/>
        <v>717840.8102149867</v>
      </c>
      <c r="S8" s="87">
        <f t="shared" si="5"/>
        <v>743037.74121342</v>
      </c>
    </row>
    <row r="9" spans="1:19" ht="12.75">
      <c r="A9" s="86" t="s">
        <v>98</v>
      </c>
      <c r="B9" s="87">
        <v>351384</v>
      </c>
      <c r="C9" s="87">
        <v>408365</v>
      </c>
      <c r="D9" s="88">
        <f t="shared" si="1"/>
        <v>0.16216162375065454</v>
      </c>
      <c r="E9" s="87">
        <f t="shared" si="2"/>
        <v>461341.9051863488</v>
      </c>
      <c r="F9" s="87">
        <f t="shared" si="0"/>
        <v>476304.2956761966</v>
      </c>
      <c r="G9" s="87">
        <f t="shared" si="0"/>
        <v>491751.9512734493</v>
      </c>
      <c r="H9" s="87">
        <f t="shared" si="0"/>
        <v>507700.6102536603</v>
      </c>
      <c r="I9" s="87">
        <f t="shared" si="0"/>
        <v>524166.5213212466</v>
      </c>
      <c r="J9" s="90"/>
      <c r="K9" s="86" t="s">
        <v>98</v>
      </c>
      <c r="L9" s="87">
        <f t="shared" si="3"/>
        <v>305668.9416</v>
      </c>
      <c r="M9" s="87">
        <f t="shared" si="3"/>
        <v>355236.7135</v>
      </c>
      <c r="N9" s="88"/>
      <c r="O9" s="87">
        <f t="shared" si="4"/>
        <v>401321.32332160487</v>
      </c>
      <c r="P9" s="87">
        <f t="shared" si="5"/>
        <v>414337.1068087234</v>
      </c>
      <c r="Q9" s="87">
        <f t="shared" si="5"/>
        <v>427775.0224127735</v>
      </c>
      <c r="R9" s="87">
        <f t="shared" si="5"/>
        <v>441648.7608596591</v>
      </c>
      <c r="S9" s="87">
        <f t="shared" si="5"/>
        <v>455972.4568973524</v>
      </c>
    </row>
    <row r="10" spans="1:19" ht="12.75">
      <c r="A10" s="86" t="s">
        <v>100</v>
      </c>
      <c r="B10" s="87">
        <v>163494</v>
      </c>
      <c r="C10" s="87">
        <v>195996</v>
      </c>
      <c r="D10" s="88">
        <f t="shared" si="1"/>
        <v>0.1987962861022423</v>
      </c>
      <c r="E10" s="87">
        <f t="shared" si="2"/>
        <v>227166.62151271608</v>
      </c>
      <c r="F10" s="87">
        <f t="shared" si="0"/>
        <v>236198.5976493404</v>
      </c>
      <c r="G10" s="87">
        <f t="shared" si="0"/>
        <v>245589.67844838972</v>
      </c>
      <c r="H10" s="87">
        <f t="shared" si="0"/>
        <v>255354.14164450645</v>
      </c>
      <c r="I10" s="87">
        <f t="shared" si="0"/>
        <v>265506.8326444572</v>
      </c>
      <c r="J10" s="90"/>
      <c r="K10" s="86" t="s">
        <v>100</v>
      </c>
      <c r="L10" s="87">
        <f t="shared" si="3"/>
        <v>142223.4306</v>
      </c>
      <c r="M10" s="87">
        <f t="shared" si="3"/>
        <v>170496.9204</v>
      </c>
      <c r="N10" s="88"/>
      <c r="O10" s="87">
        <f t="shared" si="4"/>
        <v>197612.2440539117</v>
      </c>
      <c r="P10" s="87">
        <f t="shared" si="5"/>
        <v>205469.1600951612</v>
      </c>
      <c r="Q10" s="87">
        <f t="shared" si="5"/>
        <v>213638.46128225423</v>
      </c>
      <c r="R10" s="87">
        <f t="shared" si="5"/>
        <v>222132.56781655617</v>
      </c>
      <c r="S10" s="87">
        <f t="shared" si="5"/>
        <v>230964.3937174133</v>
      </c>
    </row>
    <row r="11" spans="1:19" ht="12.75">
      <c r="A11" s="86" t="s">
        <v>96</v>
      </c>
      <c r="B11" s="87">
        <v>224010</v>
      </c>
      <c r="C11" s="87">
        <v>269500</v>
      </c>
      <c r="D11" s="88">
        <f t="shared" si="1"/>
        <v>0.20307129146020267</v>
      </c>
      <c r="E11" s="87">
        <f t="shared" si="2"/>
        <v>313282.1704388197</v>
      </c>
      <c r="F11" s="87">
        <f t="shared" si="0"/>
        <v>326005.89342731296</v>
      </c>
      <c r="G11" s="87">
        <f t="shared" si="0"/>
        <v>339246.3809876973</v>
      </c>
      <c r="H11" s="87">
        <f t="shared" si="0"/>
        <v>353024.62112977164</v>
      </c>
      <c r="I11" s="87">
        <f t="shared" si="0"/>
        <v>367362.45427578595</v>
      </c>
      <c r="J11" s="90"/>
      <c r="K11" s="86" t="s">
        <v>96</v>
      </c>
      <c r="L11" s="87">
        <f t="shared" si="3"/>
        <v>194866.299</v>
      </c>
      <c r="M11" s="87">
        <f t="shared" si="3"/>
        <v>234438.05</v>
      </c>
      <c r="N11" s="88"/>
      <c r="O11" s="87">
        <f t="shared" si="4"/>
        <v>272524.1600647292</v>
      </c>
      <c r="P11" s="87">
        <f t="shared" si="5"/>
        <v>283592.52669241955</v>
      </c>
      <c r="Q11" s="87">
        <f t="shared" si="5"/>
        <v>295110.42682119785</v>
      </c>
      <c r="R11" s="87">
        <f t="shared" si="5"/>
        <v>307096.11792078835</v>
      </c>
      <c r="S11" s="87">
        <f t="shared" si="5"/>
        <v>319568.5989745062</v>
      </c>
    </row>
    <row r="12" spans="1:19" ht="12.75">
      <c r="A12" s="86" t="s">
        <v>97</v>
      </c>
      <c r="B12" s="87">
        <v>62771</v>
      </c>
      <c r="C12" s="87">
        <v>67800</v>
      </c>
      <c r="D12" s="88">
        <f t="shared" si="1"/>
        <v>0.08011661436013445</v>
      </c>
      <c r="E12" s="87">
        <f t="shared" si="2"/>
        <v>72145.5251628937</v>
      </c>
      <c r="F12" s="87">
        <f t="shared" si="0"/>
        <v>73301.53620635068</v>
      </c>
      <c r="G12" s="87">
        <f t="shared" si="0"/>
        <v>74476.07038800059</v>
      </c>
      <c r="H12" s="87">
        <f t="shared" si="0"/>
        <v>75669.42451006731</v>
      </c>
      <c r="I12" s="87">
        <f t="shared" si="0"/>
        <v>76881.90013053258</v>
      </c>
      <c r="J12" s="90"/>
      <c r="K12" s="86" t="s">
        <v>97</v>
      </c>
      <c r="L12" s="87">
        <f t="shared" si="3"/>
        <v>54604.4929</v>
      </c>
      <c r="M12" s="87">
        <f t="shared" si="3"/>
        <v>58979.22</v>
      </c>
      <c r="N12" s="88"/>
      <c r="O12" s="87">
        <f t="shared" si="4"/>
        <v>62759.39233920123</v>
      </c>
      <c r="P12" s="87">
        <f t="shared" si="5"/>
        <v>63765.006345904454</v>
      </c>
      <c r="Q12" s="87">
        <f t="shared" si="5"/>
        <v>64786.73363052171</v>
      </c>
      <c r="R12" s="87">
        <f t="shared" si="5"/>
        <v>65824.83238130755</v>
      </c>
      <c r="S12" s="87">
        <f t="shared" si="5"/>
        <v>66879.5649235503</v>
      </c>
    </row>
    <row r="13" spans="1:19" ht="12.75">
      <c r="A13" s="86" t="s">
        <v>94</v>
      </c>
      <c r="B13" s="87">
        <v>301942</v>
      </c>
      <c r="C13" s="87">
        <v>352984</v>
      </c>
      <c r="D13" s="88">
        <f t="shared" si="1"/>
        <v>0.16904571076564373</v>
      </c>
      <c r="E13" s="87">
        <f t="shared" si="2"/>
        <v>400720.34493511997</v>
      </c>
      <c r="F13" s="87">
        <f t="shared" si="0"/>
        <v>414268.35604068224</v>
      </c>
      <c r="G13" s="87">
        <f t="shared" si="0"/>
        <v>428274.41377960466</v>
      </c>
      <c r="H13" s="87">
        <f t="shared" si="0"/>
        <v>442754.0043156272</v>
      </c>
      <c r="I13" s="87">
        <f t="shared" si="0"/>
        <v>457723.13738640124</v>
      </c>
      <c r="J13" s="90"/>
      <c r="K13" s="86" t="s">
        <v>94</v>
      </c>
      <c r="L13" s="87">
        <f t="shared" si="3"/>
        <v>262659.3458</v>
      </c>
      <c r="M13" s="87">
        <f t="shared" si="3"/>
        <v>307060.7816</v>
      </c>
      <c r="N13" s="88"/>
      <c r="O13" s="87">
        <f t="shared" si="4"/>
        <v>348586.62805906084</v>
      </c>
      <c r="P13" s="87">
        <f t="shared" si="5"/>
        <v>360372.0429197895</v>
      </c>
      <c r="Q13" s="87">
        <f t="shared" si="5"/>
        <v>372555.9125468781</v>
      </c>
      <c r="R13" s="87">
        <f t="shared" si="5"/>
        <v>385151.7083541641</v>
      </c>
      <c r="S13" s="87">
        <f t="shared" si="5"/>
        <v>398173.35721243045</v>
      </c>
    </row>
    <row r="14" spans="1:19" ht="12.75">
      <c r="A14" s="226"/>
      <c r="B14" s="224"/>
      <c r="C14" s="224"/>
      <c r="D14" s="224"/>
      <c r="E14" s="224"/>
      <c r="F14" s="224"/>
      <c r="G14" s="224"/>
      <c r="H14" s="224"/>
      <c r="I14" s="225"/>
      <c r="J14" s="85"/>
      <c r="K14" s="226"/>
      <c r="L14" s="224"/>
      <c r="M14" s="224"/>
      <c r="N14" s="224"/>
      <c r="O14" s="224"/>
      <c r="P14" s="224"/>
      <c r="Q14" s="224"/>
      <c r="R14" s="224"/>
      <c r="S14" s="225"/>
    </row>
    <row r="15" spans="1:19" ht="13.5" thickBot="1">
      <c r="A15" s="91" t="s">
        <v>138</v>
      </c>
      <c r="B15" s="92">
        <f>SUM(B5:B14)</f>
        <v>2825200</v>
      </c>
      <c r="C15" s="92">
        <f>SUM(C5:C14)</f>
        <v>3280506</v>
      </c>
      <c r="D15" s="93">
        <f>+(C15-B15)/B15</f>
        <v>0.16115885601019397</v>
      </c>
      <c r="E15" s="94">
        <f>SUM(E5:E13)</f>
        <v>3706133.2515653837</v>
      </c>
      <c r="F15" s="94">
        <f>SUM(F5:F13)</f>
        <v>3826955.044981842</v>
      </c>
      <c r="G15" s="94">
        <f>SUM(G5:G13)</f>
        <v>3951884.597994277</v>
      </c>
      <c r="H15" s="94">
        <f>SUM(H5:H13)</f>
        <v>4081065.9491621316</v>
      </c>
      <c r="I15" s="94">
        <f>SUM(I5:I13)</f>
        <v>4214648.302095299</v>
      </c>
      <c r="J15" s="96"/>
      <c r="K15" s="91" t="s">
        <v>138</v>
      </c>
      <c r="L15" s="92">
        <f>+B15*0.8699</f>
        <v>2457641.48</v>
      </c>
      <c r="M15" s="92">
        <f>+C15*0.8699</f>
        <v>2853712.1694</v>
      </c>
      <c r="N15" s="93"/>
      <c r="O15" s="92">
        <f t="shared" si="4"/>
        <v>3223965.315536727</v>
      </c>
      <c r="P15" s="92">
        <f>+F15*0.8699</f>
        <v>3329068.1936297044</v>
      </c>
      <c r="Q15" s="92">
        <f>+G15*0.8699</f>
        <v>3437744.4117952213</v>
      </c>
      <c r="R15" s="92">
        <f>+H15*0.8699</f>
        <v>3550119.2691761386</v>
      </c>
      <c r="S15" s="92">
        <f>+I15*0.8699</f>
        <v>3666322.5579927005</v>
      </c>
    </row>
    <row r="16" spans="1:19" ht="39" customHeight="1">
      <c r="A16" s="227" t="s">
        <v>198</v>
      </c>
      <c r="B16" s="228"/>
      <c r="C16" s="228"/>
      <c r="D16" s="228"/>
      <c r="E16" s="228"/>
      <c r="F16" s="228"/>
      <c r="G16" s="228"/>
      <c r="H16" s="228"/>
      <c r="I16" s="228"/>
      <c r="J16" s="96"/>
      <c r="K16" s="85"/>
      <c r="L16" s="90"/>
      <c r="M16" s="90"/>
      <c r="N16" s="99"/>
      <c r="O16" s="90"/>
      <c r="P16" s="90"/>
      <c r="Q16" s="90"/>
      <c r="R16" s="90"/>
      <c r="S16" s="90"/>
    </row>
    <row r="17" spans="1:19" ht="12.75">
      <c r="A17" s="85"/>
      <c r="B17" s="90"/>
      <c r="C17" s="90"/>
      <c r="D17" s="99"/>
      <c r="E17" s="96"/>
      <c r="F17" s="230" t="s">
        <v>201</v>
      </c>
      <c r="G17" s="230"/>
      <c r="H17" s="230"/>
      <c r="I17" s="230"/>
      <c r="J17" s="96"/>
      <c r="K17" s="85"/>
      <c r="L17" s="90"/>
      <c r="M17" s="90"/>
      <c r="N17" s="99"/>
      <c r="O17" s="90"/>
      <c r="P17" s="229" t="s">
        <v>201</v>
      </c>
      <c r="Q17" s="229"/>
      <c r="R17" s="229"/>
      <c r="S17" s="229"/>
    </row>
    <row r="18" spans="1:19" ht="12.75">
      <c r="A18" s="215" t="s">
        <v>150</v>
      </c>
      <c r="B18" s="182"/>
      <c r="C18" s="182"/>
      <c r="D18" s="182"/>
      <c r="E18" s="182"/>
      <c r="F18" s="158">
        <v>0.2</v>
      </c>
      <c r="G18" s="96"/>
      <c r="H18" s="96"/>
      <c r="I18" s="96"/>
      <c r="J18" s="96"/>
      <c r="K18" s="183"/>
      <c r="L18" s="181"/>
      <c r="M18" s="181"/>
      <c r="N18" s="181"/>
      <c r="O18" s="181"/>
      <c r="P18" s="100"/>
      <c r="Q18" s="90"/>
      <c r="R18" s="90"/>
      <c r="S18" s="90"/>
    </row>
    <row r="19" spans="1:19" ht="13.5" thickBot="1">
      <c r="A19" s="73"/>
      <c r="B19" s="73"/>
      <c r="C19" s="73"/>
      <c r="D19" s="73"/>
      <c r="E19" s="73"/>
      <c r="F19" s="73"/>
      <c r="G19" s="73"/>
      <c r="H19" s="73"/>
      <c r="I19" s="73"/>
      <c r="J19" s="73"/>
      <c r="K19" s="73"/>
      <c r="L19" s="73"/>
      <c r="M19" s="73"/>
      <c r="N19" s="73"/>
      <c r="O19" s="73"/>
      <c r="P19" s="73"/>
      <c r="Q19" s="73"/>
      <c r="R19" s="73"/>
      <c r="S19" s="73"/>
    </row>
    <row r="20" spans="1:19" ht="13.5" thickBot="1">
      <c r="A20" s="216" t="s">
        <v>146</v>
      </c>
      <c r="B20" s="217"/>
      <c r="C20" s="217"/>
      <c r="D20" s="217"/>
      <c r="E20" s="217"/>
      <c r="F20" s="217"/>
      <c r="G20" s="217"/>
      <c r="H20" s="217"/>
      <c r="I20" s="218"/>
      <c r="J20" s="73"/>
      <c r="K20" s="219" t="s">
        <v>146</v>
      </c>
      <c r="L20" s="220"/>
      <c r="M20" s="220"/>
      <c r="N20" s="220"/>
      <c r="O20" s="220"/>
      <c r="P20" s="220"/>
      <c r="Q20" s="220"/>
      <c r="R20" s="220"/>
      <c r="S20" s="221"/>
    </row>
    <row r="21" spans="1:19" ht="13.5" thickBot="1">
      <c r="A21" s="222" t="s">
        <v>147</v>
      </c>
      <c r="B21" s="222"/>
      <c r="C21" s="222"/>
      <c r="D21" s="222"/>
      <c r="E21" s="222"/>
      <c r="F21" s="222"/>
      <c r="G21" s="222"/>
      <c r="H21" s="222"/>
      <c r="I21" s="222"/>
      <c r="J21" s="73"/>
      <c r="K21" s="222" t="s">
        <v>157</v>
      </c>
      <c r="L21" s="222"/>
      <c r="M21" s="222"/>
      <c r="N21" s="222"/>
      <c r="O21" s="222"/>
      <c r="P21" s="222"/>
      <c r="Q21" s="222"/>
      <c r="R21" s="222"/>
      <c r="S21" s="222"/>
    </row>
    <row r="22" spans="1:19" ht="12.75">
      <c r="A22" s="78"/>
      <c r="B22" s="79" t="s">
        <v>129</v>
      </c>
      <c r="C22" s="79" t="s">
        <v>130</v>
      </c>
      <c r="D22" s="79"/>
      <c r="E22" s="79" t="s">
        <v>185</v>
      </c>
      <c r="F22" s="79" t="s">
        <v>181</v>
      </c>
      <c r="G22" s="79" t="s">
        <v>182</v>
      </c>
      <c r="H22" s="79" t="s">
        <v>197</v>
      </c>
      <c r="I22" s="79" t="s">
        <v>184</v>
      </c>
      <c r="J22" s="73"/>
      <c r="K22" s="78"/>
      <c r="L22" s="79" t="s">
        <v>129</v>
      </c>
      <c r="M22" s="79" t="s">
        <v>130</v>
      </c>
      <c r="N22" s="79"/>
      <c r="O22" s="79" t="s">
        <v>185</v>
      </c>
      <c r="P22" s="79" t="s">
        <v>181</v>
      </c>
      <c r="Q22" s="79" t="s">
        <v>182</v>
      </c>
      <c r="R22" s="79" t="s">
        <v>197</v>
      </c>
      <c r="S22" s="79" t="s">
        <v>184</v>
      </c>
    </row>
    <row r="23" spans="1:19" ht="12.75">
      <c r="A23" s="151" t="s">
        <v>137</v>
      </c>
      <c r="B23" s="223"/>
      <c r="C23" s="224"/>
      <c r="D23" s="224"/>
      <c r="E23" s="224"/>
      <c r="F23" s="224"/>
      <c r="G23" s="224"/>
      <c r="H23" s="224"/>
      <c r="I23" s="225"/>
      <c r="J23" s="73"/>
      <c r="K23" s="151" t="s">
        <v>137</v>
      </c>
      <c r="L23" s="223"/>
      <c r="M23" s="224"/>
      <c r="N23" s="224"/>
      <c r="O23" s="224"/>
      <c r="P23" s="224"/>
      <c r="Q23" s="224"/>
      <c r="R23" s="224"/>
      <c r="S23" s="225"/>
    </row>
    <row r="24" spans="1:19" ht="12.75">
      <c r="A24" s="86" t="s">
        <v>95</v>
      </c>
      <c r="B24" s="87"/>
      <c r="C24" s="87"/>
      <c r="D24" s="88"/>
      <c r="E24" s="87">
        <f>+(E5*$F$18)*'Comm Care Costing Model'!$D$40*12</f>
        <v>409283786.1920599</v>
      </c>
      <c r="F24" s="87">
        <f>+(F5*$F$18)*'Comm Care Costing Model'!$D$40*12</f>
        <v>418500444.503831</v>
      </c>
      <c r="G24" s="87">
        <f>+(G5*$F$18)*'Comm Care Costing Model'!$D$40*12</f>
        <v>427924652.6704994</v>
      </c>
      <c r="H24" s="87">
        <f>+(H5*$F$18)*'Comm Care Costing Model'!$D$40*12</f>
        <v>437561084.5055895</v>
      </c>
      <c r="I24" s="87">
        <f>+(I5*$F$18)*'Comm Care Costing Model'!$D$40*12</f>
        <v>447414519.0721952</v>
      </c>
      <c r="J24" s="73"/>
      <c r="K24" s="86" t="s">
        <v>95</v>
      </c>
      <c r="L24" s="87"/>
      <c r="M24" s="87"/>
      <c r="N24" s="88"/>
      <c r="O24" s="87">
        <f>+(O5*$F$18)*'Comm Care Costing Model'!$D$40*12</f>
        <v>356035965.6084729</v>
      </c>
      <c r="P24" s="87">
        <f>+(P5*$F$18)*'Comm Care Costing Model'!$D$40*12</f>
        <v>364053536.6738826</v>
      </c>
      <c r="Q24" s="87">
        <f>+(Q5*$F$18)*'Comm Care Costing Model'!$D$40*12</f>
        <v>372251655.3580675</v>
      </c>
      <c r="R24" s="87">
        <f>+(R5*$F$18)*'Comm Care Costing Model'!$D$40*12</f>
        <v>380634387.41141236</v>
      </c>
      <c r="S24" s="87">
        <f>+(S5*$F$18)*'Comm Care Costing Model'!$D$40*12</f>
        <v>389205890.14090264</v>
      </c>
    </row>
    <row r="25" spans="1:19" ht="12.75">
      <c r="A25" s="86" t="s">
        <v>101</v>
      </c>
      <c r="B25" s="87"/>
      <c r="C25" s="87"/>
      <c r="D25" s="88"/>
      <c r="E25" s="87">
        <f>+(E6*$F$18)*'Comm Care Costing Model'!$D$40*12</f>
        <v>136534108.3463773</v>
      </c>
      <c r="F25" s="87">
        <f>+(F6*$F$18)*'Comm Care Costing Model'!$D$40*12</f>
        <v>139495846.8224662</v>
      </c>
      <c r="G25" s="87">
        <f>+(G6*$F$18)*'Comm Care Costing Model'!$D$40*12</f>
        <v>142521832.21023878</v>
      </c>
      <c r="H25" s="87">
        <f>+(H6*$F$18)*'Comm Care Costing Model'!$D$40*12</f>
        <v>145613458.17280686</v>
      </c>
      <c r="I25" s="87">
        <f>+(I6*$F$18)*'Comm Care Costing Model'!$D$40*12</f>
        <v>148772148.60503688</v>
      </c>
      <c r="J25" s="73"/>
      <c r="K25" s="86" t="s">
        <v>101</v>
      </c>
      <c r="L25" s="87"/>
      <c r="M25" s="87"/>
      <c r="N25" s="88"/>
      <c r="O25" s="87">
        <f>+(O6*$F$18)*'Comm Care Costing Model'!$D$40*12</f>
        <v>118771020.85051364</v>
      </c>
      <c r="P25" s="87">
        <f>+(P6*$F$18)*'Comm Care Costing Model'!$D$40*12</f>
        <v>121347437.15086335</v>
      </c>
      <c r="Q25" s="87">
        <f>+(Q6*$F$18)*'Comm Care Costing Model'!$D$40*12</f>
        <v>123979741.8396867</v>
      </c>
      <c r="R25" s="87">
        <f>+(R6*$F$18)*'Comm Care Costing Model'!$D$40*12</f>
        <v>126669147.2645247</v>
      </c>
      <c r="S25" s="87">
        <f>+(S6*$F$18)*'Comm Care Costing Model'!$D$40*12</f>
        <v>129416892.0715216</v>
      </c>
    </row>
    <row r="26" spans="1:19" ht="12.75">
      <c r="A26" s="86" t="s">
        <v>93</v>
      </c>
      <c r="B26" s="87"/>
      <c r="C26" s="87"/>
      <c r="D26" s="88"/>
      <c r="E26" s="87">
        <f>+(E7*$F$18)*'Comm Care Costing Model'!$D$40*12</f>
        <v>398986277.15372825</v>
      </c>
      <c r="F26" s="87">
        <f>+(F7*$F$18)*'Comm Care Costing Model'!$D$40*12</f>
        <v>414300778.429651</v>
      </c>
      <c r="G26" s="87">
        <f>+(G7*$F$18)*'Comm Care Costing Model'!$D$40*12</f>
        <v>430203104.3069694</v>
      </c>
      <c r="H26" s="87">
        <f>+(H7*$F$18)*'Comm Care Costing Model'!$D$40*12</f>
        <v>446715817.56822413</v>
      </c>
      <c r="I26" s="87">
        <f>+(I7*$F$18)*'Comm Care Costing Model'!$D$40*12</f>
        <v>463862347.03517014</v>
      </c>
      <c r="J26" s="73"/>
      <c r="K26" s="86" t="s">
        <v>93</v>
      </c>
      <c r="L26" s="87"/>
      <c r="M26" s="87"/>
      <c r="N26" s="88"/>
      <c r="O26" s="87">
        <f>+(O7*$F$18)*'Comm Care Costing Model'!$D$40*12</f>
        <v>347078162.4960283</v>
      </c>
      <c r="P26" s="87">
        <f>+(P7*$F$18)*'Comm Care Costing Model'!$D$40*12</f>
        <v>360400247.1559534</v>
      </c>
      <c r="Q26" s="87">
        <f>+(Q7*$F$18)*'Comm Care Costing Model'!$D$40*12</f>
        <v>374233680.43663275</v>
      </c>
      <c r="R26" s="87">
        <f>+(R7*$F$18)*'Comm Care Costing Model'!$D$40*12</f>
        <v>388598089.7025982</v>
      </c>
      <c r="S26" s="87">
        <f>+(S7*$F$18)*'Comm Care Costing Model'!$D$40*12</f>
        <v>403513855.6858944</v>
      </c>
    </row>
    <row r="27" spans="1:19" ht="12.75">
      <c r="A27" s="86" t="s">
        <v>99</v>
      </c>
      <c r="B27" s="87"/>
      <c r="C27" s="87"/>
      <c r="D27" s="88"/>
      <c r="E27" s="87">
        <f>+(E8*$F$18)*'Comm Care Costing Model'!$D$40*12</f>
        <v>472629818.1939237</v>
      </c>
      <c r="F27" s="87">
        <f>+(F8*$F$18)*'Comm Care Costing Model'!$D$40*12</f>
        <v>489219597.91579247</v>
      </c>
      <c r="G27" s="87">
        <f>+(G8*$F$18)*'Comm Care Costing Model'!$D$40*12</f>
        <v>506391695.5122969</v>
      </c>
      <c r="H27" s="87">
        <f>+(H8*$F$18)*'Comm Care Costing Model'!$D$40*12</f>
        <v>524166550.9237379</v>
      </c>
      <c r="I27" s="87">
        <f>+(I8*$F$18)*'Comm Care Costing Model'!$D$40*12</f>
        <v>542565321.5527813</v>
      </c>
      <c r="J27" s="73"/>
      <c r="K27" s="86" t="s">
        <v>99</v>
      </c>
      <c r="L27" s="87"/>
      <c r="M27" s="87"/>
      <c r="N27" s="88"/>
      <c r="O27" s="87">
        <f>+(O8*$F$18)*'Comm Care Costing Model'!$D$40*12</f>
        <v>411140678.84689426</v>
      </c>
      <c r="P27" s="87">
        <f>+(P8*$F$18)*'Comm Care Costing Model'!$D$40*12</f>
        <v>425572128.2269479</v>
      </c>
      <c r="Q27" s="87">
        <f>+(Q8*$F$18)*'Comm Care Costing Model'!$D$40*12</f>
        <v>440510135.9261471</v>
      </c>
      <c r="R27" s="87">
        <f>+(R8*$F$18)*'Comm Care Costing Model'!$D$40*12</f>
        <v>455972482.6485596</v>
      </c>
      <c r="S27" s="87">
        <f>+(S8*$F$18)*'Comm Care Costing Model'!$D$40*12</f>
        <v>471977573.21876454</v>
      </c>
    </row>
    <row r="28" spans="1:19" ht="12.75">
      <c r="A28" s="86" t="s">
        <v>98</v>
      </c>
      <c r="B28" s="87"/>
      <c r="C28" s="87"/>
      <c r="D28" s="88"/>
      <c r="E28" s="87">
        <f>+(E9*$F$18)*'Comm Care Costing Model'!$D$40*12</f>
        <v>293044378.17436886</v>
      </c>
      <c r="F28" s="87">
        <f>+(F9*$F$18)*'Comm Care Costing Model'!$D$40*12</f>
        <v>302548488.61352015</v>
      </c>
      <c r="G28" s="87">
        <f>+(G9*$F$18)*'Comm Care Costing Model'!$D$40*12</f>
        <v>312360839.448895</v>
      </c>
      <c r="H28" s="87">
        <f>+(H9*$F$18)*'Comm Care Costing Model'!$D$40*12</f>
        <v>322491427.63312507</v>
      </c>
      <c r="I28" s="87">
        <f>+(I9*$F$18)*'Comm Care Costing Model'!$D$40*12</f>
        <v>332950574.3432559</v>
      </c>
      <c r="J28" s="73"/>
      <c r="K28" s="86" t="s">
        <v>98</v>
      </c>
      <c r="L28" s="87"/>
      <c r="M28" s="87"/>
      <c r="N28" s="88"/>
      <c r="O28" s="87">
        <f>+(O9*$F$18)*'Comm Care Costing Model'!$D$40*12</f>
        <v>254919304.5738834</v>
      </c>
      <c r="P28" s="87">
        <f>+(P9*$F$18)*'Comm Care Costing Model'!$D$40*12</f>
        <v>263186930.24490118</v>
      </c>
      <c r="Q28" s="87">
        <f>+(Q9*$F$18)*'Comm Care Costing Model'!$D$40*12</f>
        <v>271722694.2365937</v>
      </c>
      <c r="R28" s="87">
        <f>+(R9*$F$18)*'Comm Care Costing Model'!$D$40*12</f>
        <v>280535292.89805555</v>
      </c>
      <c r="S28" s="87">
        <f>+(S9*$F$18)*'Comm Care Costing Model'!$D$40*12</f>
        <v>289633704.6211983</v>
      </c>
    </row>
    <row r="29" spans="1:19" ht="12.75">
      <c r="A29" s="86" t="s">
        <v>100</v>
      </c>
      <c r="B29" s="87"/>
      <c r="C29" s="87"/>
      <c r="D29" s="88"/>
      <c r="E29" s="87">
        <f>+(E10*$F$18)*'Comm Care Costing Model'!$D$40*12</f>
        <v>144296237.98487726</v>
      </c>
      <c r="F29" s="87">
        <f>+(F10*$F$18)*'Comm Care Costing Model'!$D$40*12</f>
        <v>150033349.22686106</v>
      </c>
      <c r="G29" s="87">
        <f>+(G10*$F$18)*'Comm Care Costing Model'!$D$40*12</f>
        <v>155998563.75041717</v>
      </c>
      <c r="H29" s="87">
        <f>+(H10*$F$18)*'Comm Care Costing Model'!$D$40*12</f>
        <v>162200950.77259052</v>
      </c>
      <c r="I29" s="87">
        <f>+(I10*$F$18)*'Comm Care Costing Model'!$D$40*12</f>
        <v>168649940.0957592</v>
      </c>
      <c r="J29" s="73"/>
      <c r="K29" s="86" t="s">
        <v>100</v>
      </c>
      <c r="L29" s="87"/>
      <c r="M29" s="87"/>
      <c r="N29" s="88"/>
      <c r="O29" s="87">
        <f>+(O10*$F$18)*'Comm Care Costing Model'!$D$40*12</f>
        <v>125523297.42304474</v>
      </c>
      <c r="P29" s="87">
        <f>+(P10*$F$18)*'Comm Care Costing Model'!$D$40*12</f>
        <v>130514010.4924464</v>
      </c>
      <c r="Q29" s="87">
        <f>+(Q10*$F$18)*'Comm Care Costing Model'!$D$40*12</f>
        <v>135703150.6064879</v>
      </c>
      <c r="R29" s="87">
        <f>+(R10*$F$18)*'Comm Care Costing Model'!$D$40*12</f>
        <v>141098607.0770765</v>
      </c>
      <c r="S29" s="87">
        <f>+(S10*$F$18)*'Comm Care Costing Model'!$D$40*12</f>
        <v>146708582.88930097</v>
      </c>
    </row>
    <row r="30" spans="1:19" ht="12.75">
      <c r="A30" s="86" t="s">
        <v>96</v>
      </c>
      <c r="B30" s="87"/>
      <c r="C30" s="87"/>
      <c r="D30" s="88"/>
      <c r="E30" s="87">
        <f>+(E11*$F$18)*'Comm Care Costing Model'!$D$40*12</f>
        <v>198996834.6627383</v>
      </c>
      <c r="F30" s="87">
        <f>+(F11*$F$18)*'Comm Care Costing Model'!$D$40*12</f>
        <v>207078943.50502923</v>
      </c>
      <c r="G30" s="87">
        <f>+(G11*$F$18)*'Comm Care Costing Model'!$D$40*12</f>
        <v>215489301.20338535</v>
      </c>
      <c r="H30" s="87">
        <f>+(H11*$F$18)*'Comm Care Costing Model'!$D$40*12</f>
        <v>224241239.34163097</v>
      </c>
      <c r="I30" s="87">
        <f>+(I11*$F$18)*'Comm Care Costing Model'!$D$40*12</f>
        <v>233348630.95597923</v>
      </c>
      <c r="J30" s="73"/>
      <c r="K30" s="86" t="s">
        <v>96</v>
      </c>
      <c r="L30" s="87"/>
      <c r="M30" s="87"/>
      <c r="N30" s="88"/>
      <c r="O30" s="87">
        <f>+(O11*$F$18)*'Comm Care Costing Model'!$D$40*12</f>
        <v>173107346.473116</v>
      </c>
      <c r="P30" s="87">
        <f>+(P11*$F$18)*'Comm Care Costing Model'!$D$40*12</f>
        <v>180137972.95502493</v>
      </c>
      <c r="Q30" s="87">
        <f>+(Q11*$F$18)*'Comm Care Costing Model'!$D$40*12</f>
        <v>187454143.1168249</v>
      </c>
      <c r="R30" s="87">
        <f>+(R11*$F$18)*'Comm Care Costing Model'!$D$40*12</f>
        <v>195067454.1032848</v>
      </c>
      <c r="S30" s="87">
        <f>+(S11*$F$18)*'Comm Care Costing Model'!$D$40*12</f>
        <v>202989974.06860638</v>
      </c>
    </row>
    <row r="31" spans="1:19" ht="12.75">
      <c r="A31" s="86" t="s">
        <v>97</v>
      </c>
      <c r="B31" s="87"/>
      <c r="C31" s="87"/>
      <c r="D31" s="88"/>
      <c r="E31" s="87">
        <f>+(E12*$F$18)*'Comm Care Costing Model'!$D$40*12</f>
        <v>45826837.583470084</v>
      </c>
      <c r="F31" s="87">
        <f>+(F12*$F$18)*'Comm Care Costing Model'!$D$40*12</f>
        <v>46561135.79827396</v>
      </c>
      <c r="G31" s="87">
        <f>+(G12*$F$18)*'Comm Care Costing Model'!$D$40*12</f>
        <v>47307199.910457976</v>
      </c>
      <c r="H31" s="87">
        <f>+(H12*$F$18)*'Comm Care Costing Model'!$D$40*12</f>
        <v>48065218.44879477</v>
      </c>
      <c r="I31" s="87">
        <f>+(I12*$F$18)*'Comm Care Costing Model'!$D$40*12</f>
        <v>48835382.9629143</v>
      </c>
      <c r="J31" s="73"/>
      <c r="K31" s="86" t="s">
        <v>97</v>
      </c>
      <c r="L31" s="87"/>
      <c r="M31" s="87"/>
      <c r="N31" s="88"/>
      <c r="O31" s="87">
        <f>+(O12*$F$18)*'Comm Care Costing Model'!$D$40*12</f>
        <v>39864766.01386063</v>
      </c>
      <c r="P31" s="87">
        <f>+(P12*$F$18)*'Comm Care Costing Model'!$D$40*12</f>
        <v>40503532.03091851</v>
      </c>
      <c r="Q31" s="87">
        <f>+(Q12*$F$18)*'Comm Care Costing Model'!$D$40*12</f>
        <v>41152533.20210739</v>
      </c>
      <c r="R31" s="87">
        <f>+(R12*$F$18)*'Comm Care Costing Model'!$D$40*12</f>
        <v>41811933.528606564</v>
      </c>
      <c r="S31" s="87">
        <f>+(S12*$F$18)*'Comm Care Costing Model'!$D$40*12</f>
        <v>42481899.63943915</v>
      </c>
    </row>
    <row r="32" spans="1:19" ht="12.75">
      <c r="A32" s="86" t="s">
        <v>94</v>
      </c>
      <c r="B32" s="87"/>
      <c r="C32" s="87"/>
      <c r="D32" s="88"/>
      <c r="E32" s="87">
        <f>+(E13*$F$18)*'Comm Care Costing Model'!$D$40*12</f>
        <v>254537563.10278827</v>
      </c>
      <c r="F32" s="87">
        <f>+(F13*$F$18)*'Comm Care Costing Model'!$D$40*12</f>
        <v>263143259.7570414</v>
      </c>
      <c r="G32" s="87">
        <f>+(G13*$F$18)*'Comm Care Costing Model'!$D$40*12</f>
        <v>272039907.6328049</v>
      </c>
      <c r="H32" s="87">
        <f>+(H13*$F$18)*'Comm Care Costing Model'!$D$40*12</f>
        <v>281237343.54128647</v>
      </c>
      <c r="I32" s="87">
        <f>+(I13*$F$18)*'Comm Care Costing Model'!$D$40*12</f>
        <v>290745736.86784214</v>
      </c>
      <c r="J32" s="73"/>
      <c r="K32" s="86" t="s">
        <v>94</v>
      </c>
      <c r="L32" s="87"/>
      <c r="M32" s="87"/>
      <c r="N32" s="88"/>
      <c r="O32" s="87">
        <f>+(O13*$F$18)*'Comm Care Costing Model'!$D$40*12</f>
        <v>221422226.14311546</v>
      </c>
      <c r="P32" s="87">
        <f>+(P13*$F$18)*'Comm Care Costing Model'!$D$40*12</f>
        <v>228908321.66265035</v>
      </c>
      <c r="Q32" s="87">
        <f>+(Q13*$F$18)*'Comm Care Costing Model'!$D$40*12</f>
        <v>236647515.649777</v>
      </c>
      <c r="R32" s="87">
        <f>+(R13*$F$18)*'Comm Care Costing Model'!$D$40*12</f>
        <v>244648365.14656502</v>
      </c>
      <c r="S32" s="87">
        <f>+(S13*$F$18)*'Comm Care Costing Model'!$D$40*12</f>
        <v>252919716.50133586</v>
      </c>
    </row>
    <row r="33" spans="1:19" ht="12.75">
      <c r="A33" s="226"/>
      <c r="B33" s="224"/>
      <c r="C33" s="224"/>
      <c r="D33" s="224"/>
      <c r="E33" s="224"/>
      <c r="F33" s="224"/>
      <c r="G33" s="224"/>
      <c r="H33" s="224"/>
      <c r="I33" s="225"/>
      <c r="J33" s="73"/>
      <c r="K33" s="226"/>
      <c r="L33" s="224"/>
      <c r="M33" s="224"/>
      <c r="N33" s="224"/>
      <c r="O33" s="224"/>
      <c r="P33" s="224"/>
      <c r="Q33" s="224"/>
      <c r="R33" s="224"/>
      <c r="S33" s="225"/>
    </row>
    <row r="34" spans="1:19" ht="13.5" thickBot="1">
      <c r="A34" s="91" t="s">
        <v>138</v>
      </c>
      <c r="B34" s="92"/>
      <c r="C34" s="92"/>
      <c r="D34" s="93"/>
      <c r="E34" s="92">
        <f>+(E15*$F$18)*'Comm Care Costing Model'!$D$40*12</f>
        <v>2354135841.394332</v>
      </c>
      <c r="F34" s="92">
        <f>+(F15*$F$18)*'Comm Care Costing Model'!$D$40*12</f>
        <v>2430881844.572466</v>
      </c>
      <c r="G34" s="92">
        <f>+(G15*$F$18)*'Comm Care Costing Model'!$D$40*12</f>
        <v>2510237096.6459646</v>
      </c>
      <c r="H34" s="92">
        <f>+(H15*$F$18)*'Comm Care Costing Model'!$D$40*12</f>
        <v>2592293090.9077864</v>
      </c>
      <c r="I34" s="92">
        <f>+(I15*$F$18)*'Comm Care Costing Model'!$D$40*12</f>
        <v>2677144601.4909344</v>
      </c>
      <c r="J34" s="73"/>
      <c r="K34" s="91" t="s">
        <v>138</v>
      </c>
      <c r="L34" s="92"/>
      <c r="M34" s="92"/>
      <c r="N34" s="93"/>
      <c r="O34" s="92">
        <f>+(O15*$F$18)*'Comm Care Costing Model'!$D$40*12</f>
        <v>2047862768.4289293</v>
      </c>
      <c r="P34" s="92">
        <f>+(P15*$F$18)*'Comm Care Costing Model'!$D$40*12</f>
        <v>2114624116.5935888</v>
      </c>
      <c r="Q34" s="92">
        <f>+(Q15*$F$18)*'Comm Care Costing Model'!$D$40*12</f>
        <v>2183655250.372325</v>
      </c>
      <c r="R34" s="92">
        <f>+(R15*$F$18)*'Comm Care Costing Model'!$D$40*12</f>
        <v>2255035759.7806835</v>
      </c>
      <c r="S34" s="92">
        <f>+(S15*$F$18)*'Comm Care Costing Model'!$D$40*12</f>
        <v>2328848088.8369637</v>
      </c>
    </row>
    <row r="35" spans="1:19" ht="12.75">
      <c r="A35" s="73"/>
      <c r="B35" s="73"/>
      <c r="C35" s="73"/>
      <c r="D35" s="73"/>
      <c r="E35" s="73"/>
      <c r="F35" s="101"/>
      <c r="G35" s="73"/>
      <c r="H35" s="73"/>
      <c r="I35" s="73"/>
      <c r="J35" s="73"/>
      <c r="K35" s="73"/>
      <c r="L35" s="73"/>
      <c r="M35" s="73"/>
      <c r="N35" s="73"/>
      <c r="O35" s="73"/>
      <c r="P35" s="73"/>
      <c r="Q35" s="73"/>
      <c r="R35" s="73"/>
      <c r="S35" s="73"/>
    </row>
    <row r="36" spans="1:19" ht="13.5" thickBot="1">
      <c r="A36" s="73"/>
      <c r="B36" s="73"/>
      <c r="C36" s="73"/>
      <c r="D36" s="73"/>
      <c r="E36" s="73"/>
      <c r="F36" s="73"/>
      <c r="G36" s="73"/>
      <c r="H36" s="73"/>
      <c r="I36" s="73"/>
      <c r="J36" s="73"/>
      <c r="K36" s="73"/>
      <c r="L36" s="73"/>
      <c r="M36" s="73"/>
      <c r="N36" s="73"/>
      <c r="O36" s="73"/>
      <c r="P36" s="73"/>
      <c r="Q36" s="73"/>
      <c r="R36" s="73"/>
      <c r="S36" s="73"/>
    </row>
    <row r="37" spans="1:19" ht="13.5" thickBot="1">
      <c r="A37" s="216" t="s">
        <v>148</v>
      </c>
      <c r="B37" s="217"/>
      <c r="C37" s="217"/>
      <c r="D37" s="217"/>
      <c r="E37" s="217"/>
      <c r="F37" s="217"/>
      <c r="G37" s="217"/>
      <c r="H37" s="217"/>
      <c r="I37" s="218"/>
      <c r="J37" s="73"/>
      <c r="K37" s="219" t="s">
        <v>148</v>
      </c>
      <c r="L37" s="220"/>
      <c r="M37" s="220"/>
      <c r="N37" s="220"/>
      <c r="O37" s="220"/>
      <c r="P37" s="220"/>
      <c r="Q37" s="220"/>
      <c r="R37" s="220"/>
      <c r="S37" s="221"/>
    </row>
    <row r="38" spans="1:19" ht="13.5" thickBot="1">
      <c r="A38" s="214" t="s">
        <v>147</v>
      </c>
      <c r="B38" s="214"/>
      <c r="C38" s="214"/>
      <c r="D38" s="214"/>
      <c r="E38" s="214"/>
      <c r="F38" s="214"/>
      <c r="G38" s="214"/>
      <c r="H38" s="214"/>
      <c r="I38" s="214"/>
      <c r="J38" s="73"/>
      <c r="K38" s="214" t="s">
        <v>157</v>
      </c>
      <c r="L38" s="214"/>
      <c r="M38" s="214"/>
      <c r="N38" s="214"/>
      <c r="O38" s="214"/>
      <c r="P38" s="214"/>
      <c r="Q38" s="214"/>
      <c r="R38" s="214"/>
      <c r="S38" s="214"/>
    </row>
    <row r="39" spans="1:19" ht="12.75">
      <c r="A39" s="78"/>
      <c r="B39" s="79" t="s">
        <v>129</v>
      </c>
      <c r="C39" s="79" t="s">
        <v>130</v>
      </c>
      <c r="D39" s="79"/>
      <c r="E39" s="79" t="s">
        <v>185</v>
      </c>
      <c r="F39" s="79" t="s">
        <v>181</v>
      </c>
      <c r="G39" s="79" t="s">
        <v>182</v>
      </c>
      <c r="H39" s="79" t="s">
        <v>197</v>
      </c>
      <c r="I39" s="79" t="s">
        <v>184</v>
      </c>
      <c r="J39" s="73"/>
      <c r="K39" s="78"/>
      <c r="L39" s="79" t="s">
        <v>129</v>
      </c>
      <c r="M39" s="79" t="s">
        <v>130</v>
      </c>
      <c r="N39" s="79"/>
      <c r="O39" s="79" t="s">
        <v>185</v>
      </c>
      <c r="P39" s="79" t="s">
        <v>181</v>
      </c>
      <c r="Q39" s="79" t="s">
        <v>182</v>
      </c>
      <c r="R39" s="79" t="s">
        <v>197</v>
      </c>
      <c r="S39" s="79" t="s">
        <v>184</v>
      </c>
    </row>
    <row r="40" spans="1:19" ht="12.75">
      <c r="A40" s="151" t="s">
        <v>137</v>
      </c>
      <c r="B40" s="223"/>
      <c r="C40" s="224"/>
      <c r="D40" s="224"/>
      <c r="E40" s="224"/>
      <c r="F40" s="224"/>
      <c r="G40" s="224"/>
      <c r="H40" s="224"/>
      <c r="I40" s="225"/>
      <c r="J40" s="73"/>
      <c r="K40" s="151" t="s">
        <v>137</v>
      </c>
      <c r="L40" s="223"/>
      <c r="M40" s="224"/>
      <c r="N40" s="224"/>
      <c r="O40" s="224"/>
      <c r="P40" s="224"/>
      <c r="Q40" s="224"/>
      <c r="R40" s="224"/>
      <c r="S40" s="225"/>
    </row>
    <row r="41" spans="1:19" ht="12.75">
      <c r="A41" s="86" t="s">
        <v>95</v>
      </c>
      <c r="B41" s="87"/>
      <c r="C41" s="87"/>
      <c r="D41" s="88"/>
      <c r="E41" s="87">
        <f>+(E5*$F$18)*'Comm Care Costing Model'!$G$40*12</f>
        <v>471140277.8079883</v>
      </c>
      <c r="F41" s="87">
        <f>+(F5*$F$18)*'Comm Care Costing Model'!$G$40*12</f>
        <v>481749881.9603294</v>
      </c>
      <c r="G41" s="87">
        <f>+(G5*$F$18)*'Comm Care Costing Model'!$G$40*12</f>
        <v>492598403.7038243</v>
      </c>
      <c r="H41" s="87">
        <f>+(H5*$F$18)*'Comm Care Costing Model'!$G$40*12</f>
        <v>503691223.2217995</v>
      </c>
      <c r="I41" s="87">
        <f>+(I5*$F$18)*'Comm Care Costing Model'!$G$40*12</f>
        <v>515033841.85388714</v>
      </c>
      <c r="J41" s="73"/>
      <c r="K41" s="86" t="s">
        <v>95</v>
      </c>
      <c r="L41" s="87"/>
      <c r="M41" s="87"/>
      <c r="N41" s="88"/>
      <c r="O41" s="87">
        <f>+(O5*$F$18)*'Comm Care Costing Model'!$G$40*12</f>
        <v>409844927.665169</v>
      </c>
      <c r="P41" s="87">
        <f>+(P5*$F$18)*'Comm Care Costing Model'!$G$40*12</f>
        <v>419074222.3172906</v>
      </c>
      <c r="Q41" s="87">
        <f>+(Q5*$F$18)*'Comm Care Costing Model'!$G$40*12</f>
        <v>428511351.38195676</v>
      </c>
      <c r="R41" s="87">
        <f>+(R5*$F$18)*'Comm Care Costing Model'!$G$40*12</f>
        <v>438160995.0806435</v>
      </c>
      <c r="S41" s="87">
        <f>+(S5*$F$18)*'Comm Care Costing Model'!$G$40*12</f>
        <v>448027939.0286964</v>
      </c>
    </row>
    <row r="42" spans="1:19" ht="12.75">
      <c r="A42" s="86" t="s">
        <v>101</v>
      </c>
      <c r="B42" s="87"/>
      <c r="C42" s="87"/>
      <c r="D42" s="88"/>
      <c r="E42" s="87">
        <f>+(E6*$F$18)*'Comm Care Costing Model'!$G$40*12</f>
        <v>157168986.18210185</v>
      </c>
      <c r="F42" s="87">
        <f>+(F6*$F$18)*'Comm Care Costing Model'!$G$40*12</f>
        <v>160578342.56389683</v>
      </c>
      <c r="G42" s="87">
        <f>+(G6*$F$18)*'Comm Care Costing Model'!$G$40*12</f>
        <v>164061655.71808344</v>
      </c>
      <c r="H42" s="87">
        <f>+(H6*$F$18)*'Comm Care Costing Model'!$G$40*12</f>
        <v>167620529.93695903</v>
      </c>
      <c r="I42" s="87">
        <f>+(I6*$F$18)*'Comm Care Costing Model'!$G$40*12</f>
        <v>171256604.31360668</v>
      </c>
      <c r="J42" s="73"/>
      <c r="K42" s="86" t="s">
        <v>101</v>
      </c>
      <c r="L42" s="87"/>
      <c r="M42" s="87"/>
      <c r="N42" s="88"/>
      <c r="O42" s="87">
        <f>+(O6*$F$18)*'Comm Care Costing Model'!$G$40*12</f>
        <v>136721301.0798104</v>
      </c>
      <c r="P42" s="87">
        <f>+(P6*$F$18)*'Comm Care Costing Model'!$G$40*12</f>
        <v>139687100.1963339</v>
      </c>
      <c r="Q42" s="87">
        <f>+(Q6*$F$18)*'Comm Care Costing Model'!$G$40*12</f>
        <v>142717234.30916077</v>
      </c>
      <c r="R42" s="87">
        <f>+(R6*$F$18)*'Comm Care Costing Model'!$G$40*12</f>
        <v>145813098.99216068</v>
      </c>
      <c r="S42" s="87">
        <f>+(S6*$F$18)*'Comm Care Costing Model'!$G$40*12</f>
        <v>148976120.09240648</v>
      </c>
    </row>
    <row r="43" spans="1:19" ht="12.75">
      <c r="A43" s="86" t="s">
        <v>93</v>
      </c>
      <c r="B43" s="87"/>
      <c r="C43" s="87"/>
      <c r="D43" s="88"/>
      <c r="E43" s="87">
        <f>+(E7*$F$18)*'Comm Care Costing Model'!$G$40*12</f>
        <v>459286470.1744428</v>
      </c>
      <c r="F43" s="87">
        <f>+(F7*$F$18)*'Comm Care Costing Model'!$G$40*12</f>
        <v>476915505.6482382</v>
      </c>
      <c r="G43" s="87">
        <f>+(G7*$F$18)*'Comm Care Costing Model'!$G$40*12</f>
        <v>495221205.71356434</v>
      </c>
      <c r="H43" s="87">
        <f>+(H7*$F$18)*'Comm Care Costing Model'!$G$40*12</f>
        <v>514229543.1452857</v>
      </c>
      <c r="I43" s="87">
        <f>+(I7*$F$18)*'Comm Care Costing Model'!$G$40*12</f>
        <v>533967487.6450194</v>
      </c>
      <c r="J43" s="73"/>
      <c r="K43" s="86" t="s">
        <v>93</v>
      </c>
      <c r="L43" s="87"/>
      <c r="M43" s="87"/>
      <c r="N43" s="88"/>
      <c r="O43" s="87">
        <f>+(O7*$F$18)*'Comm Care Costing Model'!$G$40*12</f>
        <v>399533300.40474796</v>
      </c>
      <c r="P43" s="87">
        <f>+(P7*$F$18)*'Comm Care Costing Model'!$G$40*12</f>
        <v>414868798.36340237</v>
      </c>
      <c r="Q43" s="87">
        <f>+(Q7*$F$18)*'Comm Care Costing Model'!$G$40*12</f>
        <v>430792926.8502297</v>
      </c>
      <c r="R43" s="87">
        <f>+(R7*$F$18)*'Comm Care Costing Model'!$G$40*12</f>
        <v>447328279.58208406</v>
      </c>
      <c r="S43" s="87">
        <f>+(S7*$F$18)*'Comm Care Costing Model'!$G$40*12</f>
        <v>464498317.50240237</v>
      </c>
    </row>
    <row r="44" spans="1:19" ht="12.75">
      <c r="A44" s="86" t="s">
        <v>99</v>
      </c>
      <c r="B44" s="87"/>
      <c r="C44" s="87"/>
      <c r="D44" s="88"/>
      <c r="E44" s="87">
        <f>+(E8*$F$18)*'Comm Care Costing Model'!$G$40*12</f>
        <v>544060017.4171867</v>
      </c>
      <c r="F44" s="87">
        <f>+(F8*$F$18)*'Comm Care Costing Model'!$G$40*12</f>
        <v>563157068.6335444</v>
      </c>
      <c r="G44" s="87">
        <f>+(G8*$F$18)*'Comm Care Costing Model'!$G$40*12</f>
        <v>582924445.4637775</v>
      </c>
      <c r="H44" s="87">
        <f>+(H8*$F$18)*'Comm Care Costing Model'!$G$40*12</f>
        <v>603385677.00793</v>
      </c>
      <c r="I44" s="87">
        <f>+(I8*$F$18)*'Comm Care Costing Model'!$G$40*12</f>
        <v>624565118.2610102</v>
      </c>
      <c r="J44" s="73"/>
      <c r="K44" s="86" t="s">
        <v>99</v>
      </c>
      <c r="L44" s="87"/>
      <c r="M44" s="87"/>
      <c r="N44" s="88"/>
      <c r="O44" s="87">
        <f>+(O8*$F$18)*'Comm Care Costing Model'!$G$40*12</f>
        <v>473277809.1512108</v>
      </c>
      <c r="P44" s="87">
        <f>+(P8*$F$18)*'Comm Care Costing Model'!$G$40*12</f>
        <v>489890334.0043203</v>
      </c>
      <c r="Q44" s="87">
        <f>+(Q8*$F$18)*'Comm Care Costing Model'!$G$40*12</f>
        <v>507085975.1089401</v>
      </c>
      <c r="R44" s="87">
        <f>+(R8*$F$18)*'Comm Care Costing Model'!$G$40*12</f>
        <v>524885200.4291984</v>
      </c>
      <c r="S44" s="87">
        <f>+(S8*$F$18)*'Comm Care Costing Model'!$G$40*12</f>
        <v>543309196.3752527</v>
      </c>
    </row>
    <row r="45" spans="1:19" ht="12.75">
      <c r="A45" s="86" t="s">
        <v>98</v>
      </c>
      <c r="B45" s="87"/>
      <c r="C45" s="87"/>
      <c r="D45" s="88"/>
      <c r="E45" s="87">
        <f>+(E9*$F$18)*'Comm Care Costing Model'!$G$40*12</f>
        <v>337333201.07225835</v>
      </c>
      <c r="F45" s="87">
        <f>+(F9*$F$18)*'Comm Care Costing Model'!$G$40*12</f>
        <v>348273700.998435</v>
      </c>
      <c r="G45" s="87">
        <f>+(G9*$F$18)*'Comm Care Costing Model'!$G$40*12</f>
        <v>359569026.7711461</v>
      </c>
      <c r="H45" s="87">
        <f>+(H9*$F$18)*'Comm Care Costing Model'!$G$40*12</f>
        <v>371230686.2174765</v>
      </c>
      <c r="I45" s="87">
        <f>+(I9*$F$18)*'Comm Care Costing Model'!$G$40*12</f>
        <v>383270560.39009553</v>
      </c>
      <c r="J45" s="73"/>
      <c r="K45" s="86" t="s">
        <v>98</v>
      </c>
      <c r="L45" s="87"/>
      <c r="M45" s="87"/>
      <c r="N45" s="88"/>
      <c r="O45" s="87">
        <f>+(O9*$F$18)*'Comm Care Costing Model'!$G$40*12</f>
        <v>293446151.6127575</v>
      </c>
      <c r="P45" s="87">
        <f>+(P9*$F$18)*'Comm Care Costing Model'!$G$40*12</f>
        <v>302963292.4985386</v>
      </c>
      <c r="Q45" s="87">
        <f>+(Q9*$F$18)*'Comm Care Costing Model'!$G$40*12</f>
        <v>312789096.38822</v>
      </c>
      <c r="R45" s="87">
        <f>+(R9*$F$18)*'Comm Care Costing Model'!$G$40*12</f>
        <v>322933573.94058275</v>
      </c>
      <c r="S45" s="87">
        <f>+(S9*$F$18)*'Comm Care Costing Model'!$G$40*12</f>
        <v>333407060.48334414</v>
      </c>
    </row>
    <row r="46" spans="1:19" ht="12.75">
      <c r="A46" s="86" t="s">
        <v>100</v>
      </c>
      <c r="B46" s="87"/>
      <c r="C46" s="87"/>
      <c r="D46" s="88"/>
      <c r="E46" s="87">
        <f>+(E10*$F$18)*'Comm Care Costing Model'!$G$40*12</f>
        <v>166104233.65009803</v>
      </c>
      <c r="F46" s="87">
        <f>+(F10*$F$18)*'Comm Care Costing Model'!$G$40*12</f>
        <v>172708414.60119772</v>
      </c>
      <c r="G46" s="87">
        <f>+(G10*$F$18)*'Comm Care Costing Model'!$G$40*12</f>
        <v>179575172.88146257</v>
      </c>
      <c r="H46" s="87">
        <f>+(H10*$F$18)*'Comm Care Costing Model'!$G$40*12</f>
        <v>186714948.37046313</v>
      </c>
      <c r="I46" s="87">
        <f>+(I10*$F$18)*'Comm Care Costing Model'!$G$40*12</f>
        <v>194138596.0296271</v>
      </c>
      <c r="J46" s="73"/>
      <c r="K46" s="86" t="s">
        <v>100</v>
      </c>
      <c r="L46" s="87"/>
      <c r="M46" s="87"/>
      <c r="N46" s="88"/>
      <c r="O46" s="87">
        <f>+(O10*$F$18)*'Comm Care Costing Model'!$G$40*12</f>
        <v>144494072.85222024</v>
      </c>
      <c r="P46" s="87">
        <f>+(P10*$F$18)*'Comm Care Costing Model'!$G$40*12</f>
        <v>150239049.8615819</v>
      </c>
      <c r="Q46" s="87">
        <f>+(Q10*$F$18)*'Comm Care Costing Model'!$G$40*12</f>
        <v>156212442.88958433</v>
      </c>
      <c r="R46" s="87">
        <f>+(R10*$F$18)*'Comm Care Costing Model'!$G$40*12</f>
        <v>162423333.58746588</v>
      </c>
      <c r="S46" s="87">
        <f>+(S10*$F$18)*'Comm Care Costing Model'!$G$40*12</f>
        <v>168881164.68617263</v>
      </c>
    </row>
    <row r="47" spans="1:19" ht="12.75">
      <c r="A47" s="86" t="s">
        <v>96</v>
      </c>
      <c r="B47" s="87"/>
      <c r="C47" s="87"/>
      <c r="D47" s="88"/>
      <c r="E47" s="87">
        <f>+(E11*$F$18)*'Comm Care Costing Model'!$G$40*12</f>
        <v>229071923.02486497</v>
      </c>
      <c r="F47" s="87">
        <f>+(F11*$F$18)*'Comm Care Costing Model'!$G$40*12</f>
        <v>238375509.27405125</v>
      </c>
      <c r="G47" s="87">
        <f>+(G11*$F$18)*'Comm Care Costing Model'!$G$40*12</f>
        <v>248056953.77820426</v>
      </c>
      <c r="H47" s="87">
        <f>+(H11*$F$18)*'Comm Care Costing Model'!$G$40*12</f>
        <v>258131602.97008905</v>
      </c>
      <c r="I47" s="87">
        <f>+(I11*$F$18)*'Comm Care Costing Model'!$G$40*12</f>
        <v>268615426.56645465</v>
      </c>
      <c r="J47" s="73"/>
      <c r="K47" s="86" t="s">
        <v>96</v>
      </c>
      <c r="L47" s="87"/>
      <c r="M47" s="87"/>
      <c r="N47" s="88"/>
      <c r="O47" s="87">
        <f>+(O11*$F$18)*'Comm Care Costing Model'!$G$40*12</f>
        <v>199269665.83933002</v>
      </c>
      <c r="P47" s="87">
        <f>+(P11*$F$18)*'Comm Care Costing Model'!$G$40*12</f>
        <v>207362855.51749718</v>
      </c>
      <c r="Q47" s="87">
        <f>+(Q11*$F$18)*'Comm Care Costing Model'!$G$40*12</f>
        <v>215784744.0916599</v>
      </c>
      <c r="R47" s="87">
        <f>+(R11*$F$18)*'Comm Care Costing Model'!$G$40*12</f>
        <v>224548681.42368048</v>
      </c>
      <c r="S47" s="87">
        <f>+(S11*$F$18)*'Comm Care Costing Model'!$G$40*12</f>
        <v>233668559.57015893</v>
      </c>
    </row>
    <row r="48" spans="1:19" ht="12.75">
      <c r="A48" s="86" t="s">
        <v>97</v>
      </c>
      <c r="B48" s="87"/>
      <c r="C48" s="87"/>
      <c r="D48" s="88"/>
      <c r="E48" s="87">
        <f>+(E12*$F$18)*'Comm Care Costing Model'!$G$40*12</f>
        <v>52752807.99910788</v>
      </c>
      <c r="F48" s="87">
        <f>+(F12*$F$18)*'Comm Care Costing Model'!$G$40*12</f>
        <v>53598083.27408362</v>
      </c>
      <c r="G48" s="87">
        <f>+(G12*$F$18)*'Comm Care Costing Model'!$G$40*12</f>
        <v>54456902.66770603</v>
      </c>
      <c r="H48" s="87">
        <f>+(H12*$F$18)*'Comm Care Costing Model'!$G$40*12</f>
        <v>55329483.20176123</v>
      </c>
      <c r="I48" s="87">
        <f>+(I12*$F$18)*'Comm Care Costing Model'!$G$40*12</f>
        <v>56216045.375445426</v>
      </c>
      <c r="J48" s="73"/>
      <c r="K48" s="86" t="s">
        <v>97</v>
      </c>
      <c r="L48" s="87"/>
      <c r="M48" s="87"/>
      <c r="N48" s="88"/>
      <c r="O48" s="87">
        <f>+(O12*$F$18)*'Comm Care Costing Model'!$G$40*12</f>
        <v>45889667.67842394</v>
      </c>
      <c r="P48" s="87">
        <f>+(P12*$F$18)*'Comm Care Costing Model'!$G$40*12</f>
        <v>46624972.64012534</v>
      </c>
      <c r="Q48" s="87">
        <f>+(Q12*$F$18)*'Comm Care Costing Model'!$G$40*12</f>
        <v>47372059.630637474</v>
      </c>
      <c r="R48" s="87">
        <f>+(R12*$F$18)*'Comm Care Costing Model'!$G$40*12</f>
        <v>48131117.437212095</v>
      </c>
      <c r="S48" s="87">
        <f>+(S12*$F$18)*'Comm Care Costing Model'!$G$40*12</f>
        <v>48902337.87209998</v>
      </c>
    </row>
    <row r="49" spans="1:19" ht="12.75">
      <c r="A49" s="86" t="s">
        <v>94</v>
      </c>
      <c r="B49" s="87"/>
      <c r="C49" s="87"/>
      <c r="D49" s="88"/>
      <c r="E49" s="87">
        <f>+(E13*$F$18)*'Comm Care Costing Model'!$G$40*12</f>
        <v>293006716.21655977</v>
      </c>
      <c r="F49" s="87">
        <f>+(F13*$F$18)*'Comm Care Costing Model'!$G$40*12</f>
        <v>302913021.93694687</v>
      </c>
      <c r="G49" s="87">
        <f>+(G13*$F$18)*'Comm Care Costing Model'!$G$40*12</f>
        <v>313154251.35564697</v>
      </c>
      <c r="H49" s="87">
        <f>+(H13*$F$18)*'Comm Care Costing Model'!$G$40*12</f>
        <v>323741727.9555867</v>
      </c>
      <c r="I49" s="87">
        <f>+(I13*$F$18)*'Comm Care Costing Model'!$G$40*12</f>
        <v>334687158.0569366</v>
      </c>
      <c r="J49" s="73"/>
      <c r="K49" s="86" t="s">
        <v>94</v>
      </c>
      <c r="L49" s="87"/>
      <c r="M49" s="87"/>
      <c r="N49" s="88"/>
      <c r="O49" s="87">
        <f>+(O13*$F$18)*'Comm Care Costing Model'!$G$40*12</f>
        <v>254886542.43678528</v>
      </c>
      <c r="P49" s="87">
        <f>+(P13*$F$18)*'Comm Care Costing Model'!$G$40*12</f>
        <v>263504037.78295013</v>
      </c>
      <c r="Q49" s="87">
        <f>+(Q13*$F$18)*'Comm Care Costing Model'!$G$40*12</f>
        <v>272412883.2542773</v>
      </c>
      <c r="R49" s="87">
        <f>+(R13*$F$18)*'Comm Care Costing Model'!$G$40*12</f>
        <v>281622929.1485648</v>
      </c>
      <c r="S49" s="87">
        <f>+(S13*$F$18)*'Comm Care Costing Model'!$G$40*12</f>
        <v>291144358.7937292</v>
      </c>
    </row>
    <row r="50" spans="1:19" ht="12.75">
      <c r="A50" s="226"/>
      <c r="B50" s="224"/>
      <c r="C50" s="224"/>
      <c r="D50" s="224"/>
      <c r="E50" s="224"/>
      <c r="F50" s="224"/>
      <c r="G50" s="224"/>
      <c r="H50" s="224"/>
      <c r="I50" s="225"/>
      <c r="J50" s="73"/>
      <c r="K50" s="226"/>
      <c r="L50" s="224"/>
      <c r="M50" s="224"/>
      <c r="N50" s="224"/>
      <c r="O50" s="224"/>
      <c r="P50" s="224"/>
      <c r="Q50" s="224"/>
      <c r="R50" s="224"/>
      <c r="S50" s="225"/>
    </row>
    <row r="51" spans="1:19" ht="13.5" thickBot="1">
      <c r="A51" s="91" t="s">
        <v>138</v>
      </c>
      <c r="B51" s="92"/>
      <c r="C51" s="92"/>
      <c r="D51" s="93"/>
      <c r="E51" s="92">
        <f>+(E15*$F$18)*'Comm Care Costing Model'!$G$40*12</f>
        <v>2709924633.544609</v>
      </c>
      <c r="F51" s="92">
        <f>+(F15*$F$18)*'Comm Care Costing Model'!$G$40*12</f>
        <v>2798269528.890723</v>
      </c>
      <c r="G51" s="92">
        <f>+(G15*$F$18)*'Comm Care Costing Model'!$G$40*12</f>
        <v>2889618018.053416</v>
      </c>
      <c r="H51" s="92">
        <f>+(H15*$F$18)*'Comm Care Costing Model'!$G$40*12</f>
        <v>2984075422.0273514</v>
      </c>
      <c r="I51" s="92">
        <f>+(I15*$F$18)*'Comm Care Costing Model'!$G$40*12</f>
        <v>3081750838.4920826</v>
      </c>
      <c r="J51" s="73"/>
      <c r="K51" s="91" t="s">
        <v>138</v>
      </c>
      <c r="L51" s="92"/>
      <c r="M51" s="92"/>
      <c r="N51" s="93"/>
      <c r="O51" s="92">
        <f>+(O15*$F$18)*'Comm Care Costing Model'!$G$40*12</f>
        <v>2357363438.720455</v>
      </c>
      <c r="P51" s="92">
        <f>+(P15*$F$18)*'Comm Care Costing Model'!$G$40*12</f>
        <v>2434214663.18204</v>
      </c>
      <c r="Q51" s="92">
        <f>+(Q15*$F$18)*'Comm Care Costing Model'!$G$40*12</f>
        <v>2513678713.904666</v>
      </c>
      <c r="R51" s="92">
        <f>+(R15*$F$18)*'Comm Care Costing Model'!$G$40*12</f>
        <v>2595847209.621593</v>
      </c>
      <c r="S51" s="92">
        <f>+(S15*$F$18)*'Comm Care Costing Model'!$G$40*12</f>
        <v>2680815054.404263</v>
      </c>
    </row>
    <row r="52" spans="1:19" ht="12.75">
      <c r="A52" s="73"/>
      <c r="B52" s="73"/>
      <c r="C52" s="73"/>
      <c r="D52" s="73"/>
      <c r="E52" s="73"/>
      <c r="F52" s="73"/>
      <c r="G52" s="73"/>
      <c r="H52" s="73"/>
      <c r="I52" s="73"/>
      <c r="J52" s="73"/>
      <c r="K52" s="73"/>
      <c r="L52" s="73"/>
      <c r="M52" s="73"/>
      <c r="N52" s="73"/>
      <c r="O52" s="73"/>
      <c r="P52" s="73"/>
      <c r="Q52" s="73"/>
      <c r="R52" s="73"/>
      <c r="S52" s="73"/>
    </row>
    <row r="53" spans="1:19" ht="13.5" thickBot="1">
      <c r="A53" s="73"/>
      <c r="B53" s="73"/>
      <c r="C53" s="73"/>
      <c r="D53" s="73"/>
      <c r="E53" s="73"/>
      <c r="F53" s="73"/>
      <c r="G53" s="73"/>
      <c r="H53" s="73"/>
      <c r="I53" s="73"/>
      <c r="J53" s="73"/>
      <c r="K53" s="73"/>
      <c r="L53" s="73"/>
      <c r="M53" s="73"/>
      <c r="N53" s="73"/>
      <c r="O53" s="73"/>
      <c r="P53" s="73"/>
      <c r="Q53" s="73"/>
      <c r="R53" s="73"/>
      <c r="S53" s="73"/>
    </row>
    <row r="54" spans="1:19" ht="13.5" thickBot="1">
      <c r="A54" s="216" t="s">
        <v>149</v>
      </c>
      <c r="B54" s="217"/>
      <c r="C54" s="217"/>
      <c r="D54" s="217"/>
      <c r="E54" s="217"/>
      <c r="F54" s="217"/>
      <c r="G54" s="217"/>
      <c r="H54" s="217"/>
      <c r="I54" s="218"/>
      <c r="J54" s="73"/>
      <c r="K54" s="219" t="s">
        <v>149</v>
      </c>
      <c r="L54" s="220"/>
      <c r="M54" s="220"/>
      <c r="N54" s="220"/>
      <c r="O54" s="220"/>
      <c r="P54" s="220"/>
      <c r="Q54" s="220"/>
      <c r="R54" s="220"/>
      <c r="S54" s="221"/>
    </row>
    <row r="55" spans="1:19" ht="13.5" thickBot="1">
      <c r="A55" s="214" t="s">
        <v>147</v>
      </c>
      <c r="B55" s="214"/>
      <c r="C55" s="214"/>
      <c r="D55" s="214"/>
      <c r="E55" s="214"/>
      <c r="F55" s="214"/>
      <c r="G55" s="214"/>
      <c r="H55" s="214"/>
      <c r="I55" s="214"/>
      <c r="J55" s="73"/>
      <c r="K55" s="214" t="s">
        <v>157</v>
      </c>
      <c r="L55" s="214"/>
      <c r="M55" s="214"/>
      <c r="N55" s="214"/>
      <c r="O55" s="214"/>
      <c r="P55" s="214"/>
      <c r="Q55" s="214"/>
      <c r="R55" s="214"/>
      <c r="S55" s="214"/>
    </row>
    <row r="56" spans="1:19" ht="12.75">
      <c r="A56" s="78"/>
      <c r="B56" s="79" t="s">
        <v>129</v>
      </c>
      <c r="C56" s="79" t="s">
        <v>130</v>
      </c>
      <c r="D56" s="79"/>
      <c r="E56" s="79">
        <v>2005</v>
      </c>
      <c r="F56" s="79">
        <v>2006</v>
      </c>
      <c r="G56" s="79">
        <v>2007</v>
      </c>
      <c r="H56" s="79">
        <v>2008</v>
      </c>
      <c r="I56" s="79">
        <v>2009</v>
      </c>
      <c r="J56" s="73"/>
      <c r="K56" s="78"/>
      <c r="L56" s="79" t="s">
        <v>129</v>
      </c>
      <c r="M56" s="79" t="s">
        <v>130</v>
      </c>
      <c r="N56" s="79"/>
      <c r="O56" s="79">
        <v>2005</v>
      </c>
      <c r="P56" s="79">
        <v>2006</v>
      </c>
      <c r="Q56" s="79">
        <v>2007</v>
      </c>
      <c r="R56" s="79">
        <v>2008</v>
      </c>
      <c r="S56" s="79">
        <v>2009</v>
      </c>
    </row>
    <row r="57" spans="1:19" ht="12.75">
      <c r="A57" s="151" t="s">
        <v>137</v>
      </c>
      <c r="B57" s="223"/>
      <c r="C57" s="224"/>
      <c r="D57" s="224"/>
      <c r="E57" s="224"/>
      <c r="F57" s="224"/>
      <c r="G57" s="224"/>
      <c r="H57" s="224"/>
      <c r="I57" s="225"/>
      <c r="J57" s="73"/>
      <c r="K57" s="151" t="s">
        <v>137</v>
      </c>
      <c r="L57" s="223"/>
      <c r="M57" s="224"/>
      <c r="N57" s="224"/>
      <c r="O57" s="224"/>
      <c r="P57" s="224"/>
      <c r="Q57" s="224"/>
      <c r="R57" s="224"/>
      <c r="S57" s="225"/>
    </row>
    <row r="58" spans="1:19" ht="12.75">
      <c r="A58" s="86" t="s">
        <v>95</v>
      </c>
      <c r="B58" s="87"/>
      <c r="C58" s="87"/>
      <c r="D58" s="88"/>
      <c r="E58" s="87">
        <f>+(E5*$F$18)*'Comm Care Costing Model'!$J$40*12</f>
        <v>491759108.34663117</v>
      </c>
      <c r="F58" s="87">
        <f>+(F5*$F$18)*'Comm Care Costing Model'!$J$40*12</f>
        <v>502833027.7791622</v>
      </c>
      <c r="G58" s="87">
        <f>+(G5*$F$18)*'Comm Care Costing Model'!$J$40*12</f>
        <v>514156320.71493256</v>
      </c>
      <c r="H58" s="87">
        <f>+(H5*$F$18)*'Comm Care Costing Model'!$J$40*12</f>
        <v>525734602.79386944</v>
      </c>
      <c r="I58" s="87">
        <f>+(I5*$F$18)*'Comm Care Costing Model'!$J$40*12</f>
        <v>537573616.114451</v>
      </c>
      <c r="J58" s="73"/>
      <c r="K58" s="86" t="s">
        <v>95</v>
      </c>
      <c r="L58" s="87"/>
      <c r="M58" s="87"/>
      <c r="N58" s="88"/>
      <c r="O58" s="87">
        <f>+(O5*$F$18)*'Comm Care Costing Model'!$J$40*12</f>
        <v>427781248.35073435</v>
      </c>
      <c r="P58" s="87">
        <f>+(P5*$F$18)*'Comm Care Costing Model'!$J$40*12</f>
        <v>437414450.86509323</v>
      </c>
      <c r="Q58" s="87">
        <f>+(Q5*$F$18)*'Comm Care Costing Model'!$J$40*12</f>
        <v>447264583.3899198</v>
      </c>
      <c r="R58" s="87">
        <f>+(R5*$F$18)*'Comm Care Costing Model'!$J$40*12</f>
        <v>457336530.9703871</v>
      </c>
      <c r="S58" s="87">
        <f>+(S5*$F$18)*'Comm Care Costing Model'!$J$40*12</f>
        <v>467635288.657961</v>
      </c>
    </row>
    <row r="59" spans="1:19" ht="12.75">
      <c r="A59" s="86" t="s">
        <v>101</v>
      </c>
      <c r="B59" s="87"/>
      <c r="C59" s="87"/>
      <c r="D59" s="88"/>
      <c r="E59" s="87">
        <f>+(E6*$F$18)*'Comm Care Costing Model'!$J$40*12</f>
        <v>164047278.79401</v>
      </c>
      <c r="F59" s="87">
        <f>+(F6*$F$18)*'Comm Care Costing Model'!$J$40*12</f>
        <v>167605841.14437374</v>
      </c>
      <c r="G59" s="87">
        <f>+(G6*$F$18)*'Comm Care Costing Model'!$J$40*12</f>
        <v>171241596.88736498</v>
      </c>
      <c r="H59" s="87">
        <f>+(H6*$F$18)*'Comm Care Costing Model'!$J$40*12</f>
        <v>174956220.52500975</v>
      </c>
      <c r="I59" s="87">
        <f>+(I6*$F$18)*'Comm Care Costing Model'!$J$40*12</f>
        <v>178751422.88312995</v>
      </c>
      <c r="J59" s="73"/>
      <c r="K59" s="86" t="s">
        <v>101</v>
      </c>
      <c r="L59" s="87"/>
      <c r="M59" s="87"/>
      <c r="N59" s="88"/>
      <c r="O59" s="87">
        <f>+(O6*$F$18)*'Comm Care Costing Model'!$J$40*12</f>
        <v>142704727.82290933</v>
      </c>
      <c r="P59" s="87">
        <f>+(P6*$F$18)*'Comm Care Costing Model'!$J$40*12</f>
        <v>145800321.2114907</v>
      </c>
      <c r="Q59" s="87">
        <f>+(Q6*$F$18)*'Comm Care Costing Model'!$J$40*12</f>
        <v>148963065.1323188</v>
      </c>
      <c r="R59" s="87">
        <f>+(R6*$F$18)*'Comm Care Costing Model'!$J$40*12</f>
        <v>152194416.234706</v>
      </c>
      <c r="S59" s="87">
        <f>+(S6*$F$18)*'Comm Care Costing Model'!$J$40*12</f>
        <v>155495862.76603475</v>
      </c>
    </row>
    <row r="60" spans="1:19" ht="12.75">
      <c r="A60" s="86" t="s">
        <v>93</v>
      </c>
      <c r="B60" s="87"/>
      <c r="C60" s="87"/>
      <c r="D60" s="88"/>
      <c r="E60" s="87">
        <f>+(E7*$F$18)*'Comm Care Costing Model'!$J$40*12</f>
        <v>479386534.5146811</v>
      </c>
      <c r="F60" s="87">
        <f>+(F7*$F$18)*'Comm Care Costing Model'!$J$40*12</f>
        <v>497787081.38776714</v>
      </c>
      <c r="G60" s="87">
        <f>+(G7*$F$18)*'Comm Care Costing Model'!$J$40*12</f>
        <v>516893906.18242925</v>
      </c>
      <c r="H60" s="87">
        <f>+(H7*$F$18)*'Comm Care Costing Model'!$J$40*12</f>
        <v>536734118.3376396</v>
      </c>
      <c r="I60" s="87">
        <f>+(I7*$F$18)*'Comm Care Costing Model'!$J$40*12</f>
        <v>557335867.8483026</v>
      </c>
      <c r="J60" s="73"/>
      <c r="K60" s="86" t="s">
        <v>93</v>
      </c>
      <c r="L60" s="87"/>
      <c r="M60" s="87"/>
      <c r="N60" s="88"/>
      <c r="O60" s="87">
        <f>+(O7*$F$18)*'Comm Care Costing Model'!$J$40*12</f>
        <v>417018346.37432116</v>
      </c>
      <c r="P60" s="87">
        <f>+(P7*$F$18)*'Comm Care Costing Model'!$J$40*12</f>
        <v>433024982.09921855</v>
      </c>
      <c r="Q60" s="87">
        <f>+(Q7*$F$18)*'Comm Care Costing Model'!$J$40*12</f>
        <v>449646008.9880953</v>
      </c>
      <c r="R60" s="87">
        <f>+(R7*$F$18)*'Comm Care Costing Model'!$J$40*12</f>
        <v>466905009.5419127</v>
      </c>
      <c r="S60" s="87">
        <f>+(S7*$F$18)*'Comm Care Costing Model'!$J$40*12</f>
        <v>484826471.4412384</v>
      </c>
    </row>
    <row r="61" spans="1:19" ht="12.75">
      <c r="A61" s="86" t="s">
        <v>99</v>
      </c>
      <c r="B61" s="87"/>
      <c r="C61" s="87"/>
      <c r="D61" s="88"/>
      <c r="E61" s="87">
        <f>+(E8*$F$18)*'Comm Care Costing Model'!$J$40*12</f>
        <v>567870083.824941</v>
      </c>
      <c r="F61" s="87">
        <f>+(F8*$F$18)*'Comm Care Costing Model'!$J$40*12</f>
        <v>587802892.2061284</v>
      </c>
      <c r="G61" s="87">
        <f>+(G8*$F$18)*'Comm Care Costing Model'!$J$40*12</f>
        <v>608435362.114271</v>
      </c>
      <c r="H61" s="87">
        <f>+(H8*$F$18)*'Comm Care Costing Model'!$J$40*12</f>
        <v>629792052.3693274</v>
      </c>
      <c r="I61" s="87">
        <f>+(I8*$F$18)*'Comm Care Costing Model'!$J$40*12</f>
        <v>651898383.8304198</v>
      </c>
      <c r="J61" s="73"/>
      <c r="K61" s="86" t="s">
        <v>99</v>
      </c>
      <c r="L61" s="87"/>
      <c r="M61" s="87"/>
      <c r="N61" s="88"/>
      <c r="O61" s="87">
        <f>+(O8*$F$18)*'Comm Care Costing Model'!$J$40*12</f>
        <v>493990185.9193162</v>
      </c>
      <c r="P61" s="87">
        <f>+(P8*$F$18)*'Comm Care Costing Model'!$J$40*12</f>
        <v>511329735.93011117</v>
      </c>
      <c r="Q61" s="87">
        <f>+(Q8*$F$18)*'Comm Care Costing Model'!$J$40*12</f>
        <v>529277921.50320435</v>
      </c>
      <c r="R61" s="87">
        <f>+(R8*$F$18)*'Comm Care Costing Model'!$J$40*12</f>
        <v>547856106.3560778</v>
      </c>
      <c r="S61" s="87">
        <f>+(S8*$F$18)*'Comm Care Costing Model'!$J$40*12</f>
        <v>567086404.0940821</v>
      </c>
    </row>
    <row r="62" spans="1:19" ht="12.75">
      <c r="A62" s="86" t="s">
        <v>98</v>
      </c>
      <c r="B62" s="87"/>
      <c r="C62" s="87"/>
      <c r="D62" s="88"/>
      <c r="E62" s="87">
        <f>+(E9*$F$18)*'Comm Care Costing Model'!$J$40*12</f>
        <v>352096142.0382215</v>
      </c>
      <c r="F62" s="87">
        <f>+(F9*$F$18)*'Comm Care Costing Model'!$J$40*12</f>
        <v>363515438.4600733</v>
      </c>
      <c r="G62" s="87">
        <f>+(G9*$F$18)*'Comm Care Costing Model'!$J$40*12</f>
        <v>375305089.21189654</v>
      </c>
      <c r="H62" s="87">
        <f>+(H9*$F$18)*'Comm Care Costing Model'!$J$40*12</f>
        <v>387477105.74559355</v>
      </c>
      <c r="I62" s="87">
        <f>+(I9*$F$18)*'Comm Care Costing Model'!$J$40*12</f>
        <v>400043889.0723754</v>
      </c>
      <c r="J62" s="73"/>
      <c r="K62" s="86" t="s">
        <v>98</v>
      </c>
      <c r="L62" s="87"/>
      <c r="M62" s="87"/>
      <c r="N62" s="88"/>
      <c r="O62" s="87">
        <f>+(O9*$F$18)*'Comm Care Costing Model'!$J$40*12</f>
        <v>306288433.95904887</v>
      </c>
      <c r="P62" s="87">
        <f>+(P9*$F$18)*'Comm Care Costing Model'!$J$40*12</f>
        <v>316222079.9164178</v>
      </c>
      <c r="Q62" s="87">
        <f>+(Q9*$F$18)*'Comm Care Costing Model'!$J$40*12</f>
        <v>326477897.10542876</v>
      </c>
      <c r="R62" s="87">
        <f>+(R9*$F$18)*'Comm Care Costing Model'!$J$40*12</f>
        <v>337066334.2880919</v>
      </c>
      <c r="S62" s="87">
        <f>+(S9*$F$18)*'Comm Care Costing Model'!$J$40*12</f>
        <v>347998179.1040594</v>
      </c>
    </row>
    <row r="63" spans="1:19" ht="12.75">
      <c r="A63" s="86" t="s">
        <v>100</v>
      </c>
      <c r="B63" s="87"/>
      <c r="C63" s="87"/>
      <c r="D63" s="88"/>
      <c r="E63" s="87">
        <f>+(E10*$F$18)*'Comm Care Costing Model'!$J$40*12</f>
        <v>173373565.53850493</v>
      </c>
      <c r="F63" s="87">
        <f>+(F10*$F$18)*'Comm Care Costing Model'!$J$40*12</f>
        <v>180266769.7259766</v>
      </c>
      <c r="G63" s="87">
        <f>+(G10*$F$18)*'Comm Care Costing Model'!$J$40*12</f>
        <v>187434042.59181106</v>
      </c>
      <c r="H63" s="87">
        <f>+(H10*$F$18)*'Comm Care Costing Model'!$J$40*12</f>
        <v>194886280.90308732</v>
      </c>
      <c r="I63" s="87">
        <f>+(I10*$F$18)*'Comm Care Costing Model'!$J$40*12</f>
        <v>202634814.6742497</v>
      </c>
      <c r="J63" s="73"/>
      <c r="K63" s="86" t="s">
        <v>100</v>
      </c>
      <c r="L63" s="87"/>
      <c r="M63" s="87"/>
      <c r="N63" s="88"/>
      <c r="O63" s="87">
        <f>+(O10*$F$18)*'Comm Care Costing Model'!$J$40*12</f>
        <v>150817664.6619454</v>
      </c>
      <c r="P63" s="87">
        <f>+(P10*$F$18)*'Comm Care Costing Model'!$J$40*12</f>
        <v>156814062.98462704</v>
      </c>
      <c r="Q63" s="87">
        <f>+(Q10*$F$18)*'Comm Care Costing Model'!$J$40*12</f>
        <v>163048873.65061647</v>
      </c>
      <c r="R63" s="87">
        <f>+(R10*$F$18)*'Comm Care Costing Model'!$J$40*12</f>
        <v>169531575.7575957</v>
      </c>
      <c r="S63" s="87">
        <f>+(S10*$F$18)*'Comm Care Costing Model'!$J$40*12</f>
        <v>176272025.28512985</v>
      </c>
    </row>
    <row r="64" spans="1:19" ht="12.75">
      <c r="A64" s="86" t="s">
        <v>96</v>
      </c>
      <c r="B64" s="87"/>
      <c r="C64" s="87"/>
      <c r="D64" s="88"/>
      <c r="E64" s="87">
        <f>+(E11*$F$18)*'Comm Care Costing Model'!$J$40*12</f>
        <v>239096952.47890723</v>
      </c>
      <c r="F64" s="87">
        <f>+(F11*$F$18)*'Comm Care Costing Model'!$J$40*12</f>
        <v>248807697.86372524</v>
      </c>
      <c r="G64" s="87">
        <f>+(G11*$F$18)*'Comm Care Costing Model'!$J$40*12</f>
        <v>258912837.96981055</v>
      </c>
      <c r="H64" s="87">
        <f>+(H11*$F$18)*'Comm Care Costing Model'!$J$40*12</f>
        <v>269428390.8462417</v>
      </c>
      <c r="I64" s="87">
        <f>+(I11*$F$18)*'Comm Care Costing Model'!$J$40*12</f>
        <v>280371025.1032798</v>
      </c>
      <c r="J64" s="73"/>
      <c r="K64" s="86" t="s">
        <v>96</v>
      </c>
      <c r="L64" s="87"/>
      <c r="M64" s="87"/>
      <c r="N64" s="88"/>
      <c r="O64" s="87">
        <f>+(O11*$F$18)*'Comm Care Costing Model'!$J$40*12</f>
        <v>207990438.96140134</v>
      </c>
      <c r="P64" s="87">
        <f>+(P11*$F$18)*'Comm Care Costing Model'!$J$40*12</f>
        <v>216437816.37165463</v>
      </c>
      <c r="Q64" s="87">
        <f>+(Q11*$F$18)*'Comm Care Costing Model'!$J$40*12</f>
        <v>225228277.7499382</v>
      </c>
      <c r="R64" s="87">
        <f>+(R11*$F$18)*'Comm Care Costing Model'!$J$40*12</f>
        <v>234375757.1971457</v>
      </c>
      <c r="S64" s="87">
        <f>+(S11*$F$18)*'Comm Care Costing Model'!$J$40*12</f>
        <v>243894754.73734313</v>
      </c>
    </row>
    <row r="65" spans="1:19" ht="12.75">
      <c r="A65" s="86" t="s">
        <v>97</v>
      </c>
      <c r="B65" s="87"/>
      <c r="C65" s="87"/>
      <c r="D65" s="88"/>
      <c r="E65" s="87">
        <f>+(E12*$F$18)*'Comm Care Costing Model'!$J$40*12</f>
        <v>55061464.80432047</v>
      </c>
      <c r="F65" s="87">
        <f>+(F12*$F$18)*'Comm Care Costing Model'!$J$40*12</f>
        <v>55943732.43268684</v>
      </c>
      <c r="G65" s="87">
        <f>+(G12*$F$18)*'Comm Care Costing Model'!$J$40*12</f>
        <v>56840136.92012204</v>
      </c>
      <c r="H65" s="87">
        <f>+(H12*$F$18)*'Comm Care Costing Model'!$J$40*12</f>
        <v>57750904.78608337</v>
      </c>
      <c r="I65" s="87">
        <f>+(I12*$F$18)*'Comm Care Costing Model'!$J$40*12</f>
        <v>58676266.17962247</v>
      </c>
      <c r="J65" s="73"/>
      <c r="K65" s="86" t="s">
        <v>97</v>
      </c>
      <c r="L65" s="87"/>
      <c r="M65" s="87"/>
      <c r="N65" s="88"/>
      <c r="O65" s="87">
        <f>+(O12*$F$18)*'Comm Care Costing Model'!$J$40*12</f>
        <v>47897968.23327838</v>
      </c>
      <c r="P65" s="87">
        <f>+(P12*$F$18)*'Comm Care Costing Model'!$J$40*12</f>
        <v>48665452.84319428</v>
      </c>
      <c r="Q65" s="87">
        <f>+(Q12*$F$18)*'Comm Care Costing Model'!$J$40*12</f>
        <v>49445235.10681417</v>
      </c>
      <c r="R65" s="87">
        <f>+(R12*$F$18)*'Comm Care Costing Model'!$J$40*12</f>
        <v>50237512.07341393</v>
      </c>
      <c r="S65" s="87">
        <f>+(S12*$F$18)*'Comm Care Costing Model'!$J$40*12</f>
        <v>51042483.949653596</v>
      </c>
    </row>
    <row r="66" spans="1:19" ht="12.75">
      <c r="A66" s="86" t="s">
        <v>94</v>
      </c>
      <c r="B66" s="87"/>
      <c r="C66" s="87"/>
      <c r="D66" s="88"/>
      <c r="E66" s="87">
        <f>+(E13*$F$18)*'Comm Care Costing Model'!$J$40*12</f>
        <v>305829767.2544836</v>
      </c>
      <c r="F66" s="87">
        <f>+(F13*$F$18)*'Comm Care Costing Model'!$J$40*12</f>
        <v>316169609.3302487</v>
      </c>
      <c r="G66" s="87">
        <f>+(G13*$F$18)*'Comm Care Costing Model'!$J$40*12</f>
        <v>326859032.5965943</v>
      </c>
      <c r="H66" s="87">
        <f>+(H13*$F$18)*'Comm Care Costing Model'!$J$40*12</f>
        <v>337909856.0936867</v>
      </c>
      <c r="I66" s="87">
        <f>+(I13*$F$18)*'Comm Care Costing Model'!$J$40*12</f>
        <v>349334298.4533014</v>
      </c>
      <c r="J66" s="73"/>
      <c r="K66" s="86" t="s">
        <v>94</v>
      </c>
      <c r="L66" s="87"/>
      <c r="M66" s="87"/>
      <c r="N66" s="88"/>
      <c r="O66" s="87">
        <f>+(O13*$F$18)*'Comm Care Costing Model'!$J$40*12</f>
        <v>266041314.5346752</v>
      </c>
      <c r="P66" s="87">
        <f>+(P13*$F$18)*'Comm Care Costing Model'!$J$40*12</f>
        <v>275035943.15638334</v>
      </c>
      <c r="Q66" s="87">
        <f>+(Q13*$F$18)*'Comm Care Costing Model'!$J$40*12</f>
        <v>284334672.45577735</v>
      </c>
      <c r="R66" s="87">
        <f>+(R13*$F$18)*'Comm Care Costing Model'!$J$40*12</f>
        <v>293947783.815898</v>
      </c>
      <c r="S66" s="87">
        <f>+(S13*$F$18)*'Comm Care Costing Model'!$J$40*12</f>
        <v>303885906.22452694</v>
      </c>
    </row>
    <row r="67" spans="1:19" ht="12.75">
      <c r="A67" s="226"/>
      <c r="B67" s="224"/>
      <c r="C67" s="224"/>
      <c r="D67" s="224"/>
      <c r="E67" s="224"/>
      <c r="F67" s="224"/>
      <c r="G67" s="224"/>
      <c r="H67" s="224"/>
      <c r="I67" s="225"/>
      <c r="J67" s="73"/>
      <c r="K67" s="226"/>
      <c r="L67" s="224"/>
      <c r="M67" s="224"/>
      <c r="N67" s="224"/>
      <c r="O67" s="224"/>
      <c r="P67" s="224"/>
      <c r="Q67" s="224"/>
      <c r="R67" s="224"/>
      <c r="S67" s="225"/>
    </row>
    <row r="68" spans="1:19" ht="13.5" thickBot="1">
      <c r="A68" s="91" t="s">
        <v>138</v>
      </c>
      <c r="B68" s="92"/>
      <c r="C68" s="92"/>
      <c r="D68" s="93"/>
      <c r="E68" s="92">
        <f>+(E15*$F$18)*'Comm Care Costing Model'!$J$40*12</f>
        <v>2828520897.5947013</v>
      </c>
      <c r="F68" s="92">
        <f>+(F15*$F$18)*'Comm Care Costing Model'!$J$40*12</f>
        <v>2920732090.330142</v>
      </c>
      <c r="G68" s="92">
        <f>+(G15*$F$18)*'Comm Care Costing Model'!$J$40*12</f>
        <v>3016078325.1892323</v>
      </c>
      <c r="H68" s="92">
        <f>+(H15*$F$18)*'Comm Care Costing Model'!$J$40*12</f>
        <v>3114669532.400539</v>
      </c>
      <c r="I68" s="92">
        <f>+(I15*$F$18)*'Comm Care Costing Model'!$J$40*12</f>
        <v>3216619584.159132</v>
      </c>
      <c r="J68" s="73"/>
      <c r="K68" s="91" t="s">
        <v>138</v>
      </c>
      <c r="L68" s="92"/>
      <c r="M68" s="92"/>
      <c r="N68" s="93"/>
      <c r="O68" s="92">
        <f>+(O15*$F$18)*'Comm Care Costing Model'!$J$40*12</f>
        <v>2460530328.8176303</v>
      </c>
      <c r="P68" s="92">
        <f>+(P15*$F$18)*'Comm Care Costing Model'!$J$40*12</f>
        <v>2540744845.3781905</v>
      </c>
      <c r="Q68" s="92">
        <f>+(Q15*$F$18)*'Comm Care Costing Model'!$J$40*12</f>
        <v>2623686535.082113</v>
      </c>
      <c r="R68" s="92">
        <f>+(R15*$F$18)*'Comm Care Costing Model'!$J$40*12</f>
        <v>2709451026.2352295</v>
      </c>
      <c r="S68" s="92">
        <f>+(S15*$F$18)*'Comm Care Costing Model'!$J$40*12</f>
        <v>2798137376.260029</v>
      </c>
    </row>
    <row r="69" spans="1:19" ht="12.75">
      <c r="A69" s="73"/>
      <c r="B69" s="73"/>
      <c r="C69" s="73"/>
      <c r="D69" s="73"/>
      <c r="E69" s="73"/>
      <c r="F69" s="73"/>
      <c r="G69" s="73"/>
      <c r="H69" s="73"/>
      <c r="I69" s="73"/>
      <c r="J69" s="73"/>
      <c r="K69" s="73"/>
      <c r="L69" s="73"/>
      <c r="M69" s="73"/>
      <c r="N69" s="73"/>
      <c r="O69" s="73"/>
      <c r="P69" s="73"/>
      <c r="Q69" s="73"/>
      <c r="R69" s="73"/>
      <c r="S69" s="73"/>
    </row>
    <row r="70" spans="1:19" ht="12.75">
      <c r="A70" s="73"/>
      <c r="B70" s="73"/>
      <c r="C70" s="73"/>
      <c r="D70" s="73"/>
      <c r="E70" s="73"/>
      <c r="F70" s="73"/>
      <c r="G70" s="73"/>
      <c r="H70" s="73"/>
      <c r="I70" s="73"/>
      <c r="J70" s="73"/>
      <c r="K70" s="73"/>
      <c r="L70" s="73"/>
      <c r="M70" s="73"/>
      <c r="N70" s="73"/>
      <c r="O70" s="73"/>
      <c r="P70" s="73"/>
      <c r="Q70" s="73"/>
      <c r="R70" s="73"/>
      <c r="S70" s="73"/>
    </row>
    <row r="71" spans="1:19" ht="12.75">
      <c r="A71" s="73"/>
      <c r="B71" s="73"/>
      <c r="C71" s="73"/>
      <c r="D71" s="73"/>
      <c r="E71" s="73"/>
      <c r="F71" s="73"/>
      <c r="G71" s="73"/>
      <c r="H71" s="73"/>
      <c r="I71" s="73"/>
      <c r="J71" s="73"/>
      <c r="K71" s="73"/>
      <c r="L71" s="73"/>
      <c r="M71" s="73"/>
      <c r="N71" s="73"/>
      <c r="O71" s="73"/>
      <c r="P71" s="73"/>
      <c r="Q71" s="73"/>
      <c r="R71" s="73"/>
      <c r="S71" s="73"/>
    </row>
    <row r="72" spans="1:19" ht="12.75">
      <c r="A72" s="73"/>
      <c r="B72" s="73"/>
      <c r="C72" s="73"/>
      <c r="D72" s="73"/>
      <c r="E72" s="73"/>
      <c r="F72" s="73"/>
      <c r="G72" s="73"/>
      <c r="H72" s="73"/>
      <c r="I72" s="73"/>
      <c r="J72" s="73"/>
      <c r="K72" s="73"/>
      <c r="L72" s="73"/>
      <c r="M72" s="73"/>
      <c r="N72" s="73"/>
      <c r="O72" s="73"/>
      <c r="P72" s="73"/>
      <c r="Q72" s="73"/>
      <c r="R72" s="73"/>
      <c r="S72" s="73"/>
    </row>
    <row r="73" spans="1:19" ht="12.75">
      <c r="A73" s="73"/>
      <c r="B73" s="73"/>
      <c r="C73" s="73"/>
      <c r="D73" s="73"/>
      <c r="E73" s="73"/>
      <c r="F73" s="73"/>
      <c r="G73" s="73"/>
      <c r="H73" s="73"/>
      <c r="I73" s="73"/>
      <c r="J73" s="73"/>
      <c r="K73" s="73"/>
      <c r="L73" s="73"/>
      <c r="M73" s="73"/>
      <c r="N73" s="73"/>
      <c r="O73" s="73"/>
      <c r="P73" s="73"/>
      <c r="Q73" s="73"/>
      <c r="R73" s="73"/>
      <c r="S73" s="73"/>
    </row>
    <row r="74" spans="1:19" ht="12.75">
      <c r="A74" s="73"/>
      <c r="B74" s="73"/>
      <c r="C74" s="73"/>
      <c r="D74" s="73"/>
      <c r="E74" s="73"/>
      <c r="F74" s="73"/>
      <c r="G74" s="73"/>
      <c r="H74" s="73"/>
      <c r="I74" s="73"/>
      <c r="J74" s="73"/>
      <c r="K74" s="73"/>
      <c r="L74" s="73"/>
      <c r="M74" s="73"/>
      <c r="N74" s="73"/>
      <c r="O74" s="73"/>
      <c r="P74" s="73"/>
      <c r="Q74" s="73"/>
      <c r="R74" s="73"/>
      <c r="S74" s="73"/>
    </row>
    <row r="75" spans="1:19" ht="12.75">
      <c r="A75" s="73"/>
      <c r="B75" s="73"/>
      <c r="C75" s="73"/>
      <c r="D75" s="73"/>
      <c r="E75" s="73"/>
      <c r="F75" s="73"/>
      <c r="G75" s="73"/>
      <c r="H75" s="73"/>
      <c r="I75" s="73"/>
      <c r="J75" s="73"/>
      <c r="K75" s="73"/>
      <c r="L75" s="73"/>
      <c r="M75" s="73"/>
      <c r="N75" s="73"/>
      <c r="O75" s="73"/>
      <c r="P75" s="73"/>
      <c r="Q75" s="73"/>
      <c r="R75" s="73"/>
      <c r="S75" s="73"/>
    </row>
    <row r="76" spans="1:19" ht="12.75">
      <c r="A76" s="73"/>
      <c r="B76" s="73"/>
      <c r="C76" s="73"/>
      <c r="D76" s="73"/>
      <c r="E76" s="73"/>
      <c r="F76" s="73"/>
      <c r="G76" s="73"/>
      <c r="H76" s="73"/>
      <c r="I76" s="73"/>
      <c r="J76" s="73"/>
      <c r="K76" s="73"/>
      <c r="L76" s="73"/>
      <c r="M76" s="73"/>
      <c r="N76" s="73"/>
      <c r="O76" s="73"/>
      <c r="P76" s="73"/>
      <c r="Q76" s="73"/>
      <c r="R76" s="73"/>
      <c r="S76" s="73"/>
    </row>
    <row r="77" spans="1:19" ht="12.75">
      <c r="A77" s="73"/>
      <c r="B77" s="73"/>
      <c r="C77" s="73"/>
      <c r="D77" s="73"/>
      <c r="E77" s="73"/>
      <c r="F77" s="73"/>
      <c r="G77" s="73"/>
      <c r="H77" s="73"/>
      <c r="I77" s="73"/>
      <c r="J77" s="73"/>
      <c r="K77" s="73"/>
      <c r="L77" s="73"/>
      <c r="M77" s="73"/>
      <c r="N77" s="73"/>
      <c r="O77" s="73"/>
      <c r="P77" s="73"/>
      <c r="Q77" s="73"/>
      <c r="R77" s="73"/>
      <c r="S77" s="73"/>
    </row>
    <row r="78" spans="1:19" ht="12.75">
      <c r="A78" s="73"/>
      <c r="B78" s="73"/>
      <c r="C78" s="73"/>
      <c r="D78" s="73"/>
      <c r="E78" s="73"/>
      <c r="F78" s="73"/>
      <c r="G78" s="73"/>
      <c r="H78" s="73"/>
      <c r="I78" s="73"/>
      <c r="J78" s="73"/>
      <c r="K78" s="73"/>
      <c r="L78" s="73"/>
      <c r="M78" s="73"/>
      <c r="N78" s="73"/>
      <c r="O78" s="73"/>
      <c r="P78" s="73"/>
      <c r="Q78" s="73"/>
      <c r="R78" s="73"/>
      <c r="S78" s="73"/>
    </row>
    <row r="79" spans="1:19" ht="12.75">
      <c r="A79" s="73"/>
      <c r="B79" s="73"/>
      <c r="C79" s="73"/>
      <c r="D79" s="73"/>
      <c r="E79" s="73"/>
      <c r="F79" s="73"/>
      <c r="G79" s="73"/>
      <c r="H79" s="73"/>
      <c r="I79" s="73"/>
      <c r="J79" s="73"/>
      <c r="K79" s="73"/>
      <c r="L79" s="73"/>
      <c r="M79" s="73"/>
      <c r="N79" s="73"/>
      <c r="O79" s="73"/>
      <c r="P79" s="73"/>
      <c r="Q79" s="73"/>
      <c r="R79" s="73"/>
      <c r="S79" s="73"/>
    </row>
    <row r="80" spans="1:19" ht="12.75">
      <c r="A80" s="73"/>
      <c r="B80" s="73"/>
      <c r="C80" s="73"/>
      <c r="D80" s="73"/>
      <c r="E80" s="73"/>
      <c r="F80" s="73"/>
      <c r="G80" s="73"/>
      <c r="H80" s="73"/>
      <c r="I80" s="73"/>
      <c r="J80" s="73"/>
      <c r="K80" s="73"/>
      <c r="L80" s="73"/>
      <c r="M80" s="73"/>
      <c r="N80" s="73"/>
      <c r="O80" s="73"/>
      <c r="P80" s="73"/>
      <c r="Q80" s="73"/>
      <c r="R80" s="73"/>
      <c r="S80" s="73"/>
    </row>
    <row r="81" spans="1:19" ht="12.75">
      <c r="A81" s="73"/>
      <c r="B81" s="73"/>
      <c r="C81" s="73"/>
      <c r="D81" s="73"/>
      <c r="E81" s="73"/>
      <c r="F81" s="73"/>
      <c r="G81" s="73"/>
      <c r="H81" s="73"/>
      <c r="I81" s="73"/>
      <c r="J81" s="73"/>
      <c r="K81" s="73"/>
      <c r="L81" s="73"/>
      <c r="M81" s="73"/>
      <c r="N81" s="73"/>
      <c r="O81" s="73"/>
      <c r="P81" s="73"/>
      <c r="Q81" s="73"/>
      <c r="R81" s="73"/>
      <c r="S81" s="73"/>
    </row>
    <row r="82" spans="1:19" ht="12.75">
      <c r="A82" s="73"/>
      <c r="B82" s="73"/>
      <c r="C82" s="73"/>
      <c r="D82" s="73"/>
      <c r="E82" s="73"/>
      <c r="F82" s="73"/>
      <c r="G82" s="73"/>
      <c r="H82" s="73"/>
      <c r="I82" s="73"/>
      <c r="J82" s="73"/>
      <c r="K82" s="73"/>
      <c r="L82" s="73"/>
      <c r="M82" s="73"/>
      <c r="N82" s="73"/>
      <c r="O82" s="73"/>
      <c r="P82" s="73"/>
      <c r="Q82" s="73"/>
      <c r="R82" s="73"/>
      <c r="S82" s="73"/>
    </row>
    <row r="83" spans="1:19" ht="12.75">
      <c r="A83" s="73"/>
      <c r="B83" s="73"/>
      <c r="C83" s="73"/>
      <c r="D83" s="73"/>
      <c r="E83" s="73"/>
      <c r="F83" s="73"/>
      <c r="G83" s="73"/>
      <c r="H83" s="73"/>
      <c r="I83" s="73"/>
      <c r="J83" s="73"/>
      <c r="K83" s="73"/>
      <c r="L83" s="73"/>
      <c r="M83" s="73"/>
      <c r="N83" s="73"/>
      <c r="O83" s="73"/>
      <c r="P83" s="73"/>
      <c r="Q83" s="73"/>
      <c r="R83" s="73"/>
      <c r="S83" s="73"/>
    </row>
    <row r="84" spans="1:19" ht="12.75">
      <c r="A84" s="73"/>
      <c r="B84" s="73"/>
      <c r="C84" s="73"/>
      <c r="D84" s="73"/>
      <c r="E84" s="73"/>
      <c r="F84" s="73"/>
      <c r="G84" s="73"/>
      <c r="H84" s="73"/>
      <c r="I84" s="73"/>
      <c r="J84" s="73"/>
      <c r="K84" s="73"/>
      <c r="L84" s="73"/>
      <c r="M84" s="73"/>
      <c r="N84" s="73"/>
      <c r="O84" s="73"/>
      <c r="P84" s="73"/>
      <c r="Q84" s="73"/>
      <c r="R84" s="73"/>
      <c r="S84" s="73"/>
    </row>
    <row r="85" spans="1:19" ht="12.75">
      <c r="A85" s="73"/>
      <c r="B85" s="73"/>
      <c r="C85" s="73"/>
      <c r="D85" s="73"/>
      <c r="E85" s="73"/>
      <c r="F85" s="73"/>
      <c r="G85" s="73"/>
      <c r="H85" s="73"/>
      <c r="I85" s="73"/>
      <c r="J85" s="73"/>
      <c r="K85" s="73"/>
      <c r="L85" s="73"/>
      <c r="M85" s="73"/>
      <c r="N85" s="73"/>
      <c r="O85" s="73"/>
      <c r="P85" s="73"/>
      <c r="Q85" s="73"/>
      <c r="R85" s="73"/>
      <c r="S85" s="73"/>
    </row>
    <row r="86" spans="1:19" ht="12.75">
      <c r="A86" s="73"/>
      <c r="B86" s="73"/>
      <c r="C86" s="73"/>
      <c r="D86" s="73"/>
      <c r="E86" s="73"/>
      <c r="F86" s="73"/>
      <c r="G86" s="73"/>
      <c r="H86" s="73"/>
      <c r="I86" s="73"/>
      <c r="J86" s="73"/>
      <c r="K86" s="73"/>
      <c r="L86" s="73"/>
      <c r="M86" s="73"/>
      <c r="N86" s="73"/>
      <c r="O86" s="73"/>
      <c r="P86" s="73"/>
      <c r="Q86" s="73"/>
      <c r="R86" s="73"/>
      <c r="S86" s="73"/>
    </row>
    <row r="87" spans="1:19" ht="12.75">
      <c r="A87" s="73"/>
      <c r="B87" s="73"/>
      <c r="C87" s="73"/>
      <c r="D87" s="73"/>
      <c r="E87" s="73"/>
      <c r="F87" s="73"/>
      <c r="G87" s="73"/>
      <c r="H87" s="73"/>
      <c r="I87" s="73"/>
      <c r="J87" s="73"/>
      <c r="K87" s="73"/>
      <c r="L87" s="73"/>
      <c r="M87" s="73"/>
      <c r="N87" s="73"/>
      <c r="O87" s="73"/>
      <c r="P87" s="73"/>
      <c r="Q87" s="73"/>
      <c r="R87" s="73"/>
      <c r="S87" s="73"/>
    </row>
    <row r="88" spans="1:19" ht="12.75">
      <c r="A88" s="73"/>
      <c r="B88" s="73"/>
      <c r="C88" s="73"/>
      <c r="D88" s="73"/>
      <c r="E88" s="73"/>
      <c r="F88" s="73"/>
      <c r="G88" s="73"/>
      <c r="H88" s="73"/>
      <c r="I88" s="73"/>
      <c r="J88" s="73"/>
      <c r="K88" s="73"/>
      <c r="L88" s="73"/>
      <c r="M88" s="73"/>
      <c r="N88" s="73"/>
      <c r="O88" s="73"/>
      <c r="P88" s="73"/>
      <c r="Q88" s="73"/>
      <c r="R88" s="73"/>
      <c r="S88" s="73"/>
    </row>
    <row r="89" spans="1:19" ht="12.75">
      <c r="A89" s="73"/>
      <c r="B89" s="73"/>
      <c r="C89" s="73"/>
      <c r="D89" s="73"/>
      <c r="E89" s="73"/>
      <c r="F89" s="73"/>
      <c r="G89" s="73"/>
      <c r="H89" s="73"/>
      <c r="I89" s="73"/>
      <c r="J89" s="73"/>
      <c r="K89" s="73"/>
      <c r="L89" s="73"/>
      <c r="M89" s="73"/>
      <c r="N89" s="73"/>
      <c r="O89" s="73"/>
      <c r="P89" s="73"/>
      <c r="Q89" s="73"/>
      <c r="R89" s="73"/>
      <c r="S89" s="73"/>
    </row>
    <row r="90" spans="1:19" ht="12.75">
      <c r="A90" s="73"/>
      <c r="B90" s="73"/>
      <c r="C90" s="73"/>
      <c r="D90" s="73"/>
      <c r="E90" s="73"/>
      <c r="F90" s="73"/>
      <c r="G90" s="73"/>
      <c r="H90" s="73"/>
      <c r="I90" s="73"/>
      <c r="J90" s="73"/>
      <c r="K90" s="73"/>
      <c r="L90" s="73"/>
      <c r="M90" s="73"/>
      <c r="N90" s="73"/>
      <c r="O90" s="73"/>
      <c r="P90" s="73"/>
      <c r="Q90" s="73"/>
      <c r="R90" s="73"/>
      <c r="S90" s="73"/>
    </row>
    <row r="91" spans="1:19" ht="12.75">
      <c r="A91" s="73"/>
      <c r="B91" s="73"/>
      <c r="C91" s="73"/>
      <c r="D91" s="73"/>
      <c r="E91" s="73"/>
      <c r="F91" s="73"/>
      <c r="G91" s="73"/>
      <c r="H91" s="73"/>
      <c r="I91" s="73"/>
      <c r="J91" s="73"/>
      <c r="K91" s="73"/>
      <c r="L91" s="73"/>
      <c r="M91" s="73"/>
      <c r="N91" s="73"/>
      <c r="O91" s="73"/>
      <c r="P91" s="73"/>
      <c r="Q91" s="73"/>
      <c r="R91" s="73"/>
      <c r="S91" s="73"/>
    </row>
    <row r="92" spans="1:19" ht="12.75">
      <c r="A92" s="73"/>
      <c r="B92" s="73"/>
      <c r="C92" s="73"/>
      <c r="D92" s="73"/>
      <c r="E92" s="73"/>
      <c r="F92" s="73"/>
      <c r="G92" s="73"/>
      <c r="H92" s="73"/>
      <c r="I92" s="73"/>
      <c r="J92" s="73"/>
      <c r="K92" s="73"/>
      <c r="L92" s="73"/>
      <c r="M92" s="73"/>
      <c r="N92" s="73"/>
      <c r="O92" s="73"/>
      <c r="P92" s="73"/>
      <c r="Q92" s="73"/>
      <c r="R92" s="73"/>
      <c r="S92" s="73"/>
    </row>
    <row r="93" spans="1:19" ht="12.75">
      <c r="A93" s="73"/>
      <c r="B93" s="73"/>
      <c r="C93" s="73"/>
      <c r="D93" s="73"/>
      <c r="E93" s="73"/>
      <c r="F93" s="73"/>
      <c r="G93" s="73"/>
      <c r="H93" s="73"/>
      <c r="I93" s="73"/>
      <c r="J93" s="73"/>
      <c r="K93" s="73"/>
      <c r="L93" s="73"/>
      <c r="M93" s="73"/>
      <c r="N93" s="73"/>
      <c r="O93" s="73"/>
      <c r="P93" s="73"/>
      <c r="Q93" s="73"/>
      <c r="R93" s="73"/>
      <c r="S93" s="73"/>
    </row>
    <row r="94" spans="1:19" ht="12.75">
      <c r="A94" s="73"/>
      <c r="B94" s="73"/>
      <c r="C94" s="73"/>
      <c r="D94" s="73"/>
      <c r="E94" s="73"/>
      <c r="F94" s="73"/>
      <c r="G94" s="73"/>
      <c r="H94" s="73"/>
      <c r="I94" s="73"/>
      <c r="J94" s="73"/>
      <c r="K94" s="73"/>
      <c r="L94" s="73"/>
      <c r="M94" s="73"/>
      <c r="N94" s="73"/>
      <c r="O94" s="73"/>
      <c r="P94" s="73"/>
      <c r="Q94" s="73"/>
      <c r="R94" s="73"/>
      <c r="S94" s="73"/>
    </row>
    <row r="95" spans="1:19" ht="12.75">
      <c r="A95" s="73"/>
      <c r="B95" s="73"/>
      <c r="C95" s="73"/>
      <c r="D95" s="73"/>
      <c r="E95" s="73"/>
      <c r="F95" s="73"/>
      <c r="G95" s="73"/>
      <c r="H95" s="73"/>
      <c r="I95" s="73"/>
      <c r="J95" s="73"/>
      <c r="K95" s="73"/>
      <c r="L95" s="73"/>
      <c r="M95" s="73"/>
      <c r="N95" s="73"/>
      <c r="O95" s="73"/>
      <c r="P95" s="73"/>
      <c r="Q95" s="73"/>
      <c r="R95" s="73"/>
      <c r="S95" s="73"/>
    </row>
    <row r="96" spans="1:19" ht="12.75">
      <c r="A96" s="73"/>
      <c r="B96" s="73"/>
      <c r="C96" s="73"/>
      <c r="D96" s="73"/>
      <c r="E96" s="73"/>
      <c r="F96" s="73"/>
      <c r="G96" s="73"/>
      <c r="H96" s="73"/>
      <c r="I96" s="73"/>
      <c r="J96" s="73"/>
      <c r="K96" s="73"/>
      <c r="L96" s="73"/>
      <c r="M96" s="73"/>
      <c r="N96" s="73"/>
      <c r="O96" s="73"/>
      <c r="P96" s="73"/>
      <c r="Q96" s="73"/>
      <c r="R96" s="73"/>
      <c r="S96" s="73"/>
    </row>
    <row r="97" spans="1:19" ht="12.75">
      <c r="A97" s="73"/>
      <c r="B97" s="73"/>
      <c r="C97" s="73"/>
      <c r="D97" s="73"/>
      <c r="E97" s="73"/>
      <c r="F97" s="73"/>
      <c r="G97" s="73"/>
      <c r="H97" s="73"/>
      <c r="I97" s="73"/>
      <c r="J97" s="73"/>
      <c r="K97" s="73"/>
      <c r="L97" s="73"/>
      <c r="M97" s="73"/>
      <c r="N97" s="73"/>
      <c r="O97" s="73"/>
      <c r="P97" s="73"/>
      <c r="Q97" s="73"/>
      <c r="R97" s="73"/>
      <c r="S97" s="73"/>
    </row>
    <row r="98" spans="1:19" ht="12.75">
      <c r="A98" s="73"/>
      <c r="B98" s="73"/>
      <c r="C98" s="73"/>
      <c r="D98" s="73"/>
      <c r="E98" s="73"/>
      <c r="F98" s="73"/>
      <c r="G98" s="73"/>
      <c r="H98" s="73"/>
      <c r="I98" s="73"/>
      <c r="J98" s="73"/>
      <c r="K98" s="73"/>
      <c r="L98" s="73"/>
      <c r="M98" s="73"/>
      <c r="N98" s="73"/>
      <c r="O98" s="73"/>
      <c r="P98" s="73"/>
      <c r="Q98" s="73"/>
      <c r="R98" s="73"/>
      <c r="S98" s="73"/>
    </row>
    <row r="99" spans="1:19" ht="12.75">
      <c r="A99" s="73"/>
      <c r="B99" s="73"/>
      <c r="C99" s="73"/>
      <c r="D99" s="73"/>
      <c r="E99" s="73"/>
      <c r="F99" s="73"/>
      <c r="G99" s="73"/>
      <c r="H99" s="73"/>
      <c r="I99" s="73"/>
      <c r="J99" s="73"/>
      <c r="K99" s="73"/>
      <c r="L99" s="73"/>
      <c r="M99" s="73"/>
      <c r="N99" s="73"/>
      <c r="O99" s="73"/>
      <c r="P99" s="73"/>
      <c r="Q99" s="73"/>
      <c r="R99" s="73"/>
      <c r="S99" s="73"/>
    </row>
    <row r="100" spans="1:19" ht="12.75">
      <c r="A100" s="73"/>
      <c r="B100" s="73"/>
      <c r="C100" s="73"/>
      <c r="D100" s="73"/>
      <c r="E100" s="73"/>
      <c r="F100" s="73"/>
      <c r="G100" s="73"/>
      <c r="H100" s="73"/>
      <c r="I100" s="73"/>
      <c r="J100" s="73"/>
      <c r="K100" s="73"/>
      <c r="L100" s="73"/>
      <c r="M100" s="73"/>
      <c r="N100" s="73"/>
      <c r="O100" s="73"/>
      <c r="P100" s="73"/>
      <c r="Q100" s="73"/>
      <c r="R100" s="73"/>
      <c r="S100" s="73"/>
    </row>
    <row r="101" spans="1:19" ht="12.75">
      <c r="A101" s="73"/>
      <c r="B101" s="73"/>
      <c r="C101" s="73"/>
      <c r="D101" s="73"/>
      <c r="E101" s="73"/>
      <c r="F101" s="73"/>
      <c r="G101" s="73"/>
      <c r="H101" s="73"/>
      <c r="I101" s="73"/>
      <c r="J101" s="73"/>
      <c r="K101" s="73"/>
      <c r="L101" s="73"/>
      <c r="M101" s="73"/>
      <c r="N101" s="73"/>
      <c r="O101" s="73"/>
      <c r="P101" s="73"/>
      <c r="Q101" s="73"/>
      <c r="R101" s="73"/>
      <c r="S101" s="73"/>
    </row>
    <row r="102" spans="1:19" ht="12.75">
      <c r="A102" s="73"/>
      <c r="B102" s="73"/>
      <c r="C102" s="73"/>
      <c r="D102" s="73"/>
      <c r="E102" s="73"/>
      <c r="F102" s="73"/>
      <c r="G102" s="73"/>
      <c r="H102" s="73"/>
      <c r="I102" s="73"/>
      <c r="J102" s="73"/>
      <c r="K102" s="73"/>
      <c r="L102" s="73"/>
      <c r="M102" s="73"/>
      <c r="N102" s="73"/>
      <c r="O102" s="73"/>
      <c r="P102" s="73"/>
      <c r="Q102" s="73"/>
      <c r="R102" s="73"/>
      <c r="S102" s="73"/>
    </row>
    <row r="103" spans="1:19" ht="12.75">
      <c r="A103" s="73"/>
      <c r="B103" s="73"/>
      <c r="C103" s="73"/>
      <c r="D103" s="73"/>
      <c r="E103" s="73"/>
      <c r="F103" s="73"/>
      <c r="G103" s="73"/>
      <c r="H103" s="73"/>
      <c r="I103" s="73"/>
      <c r="J103" s="73"/>
      <c r="K103" s="73"/>
      <c r="L103" s="73"/>
      <c r="M103" s="73"/>
      <c r="N103" s="73"/>
      <c r="O103" s="73"/>
      <c r="P103" s="73"/>
      <c r="Q103" s="73"/>
      <c r="R103" s="73"/>
      <c r="S103" s="73"/>
    </row>
    <row r="104" spans="1:19" ht="12.75">
      <c r="A104" s="73"/>
      <c r="B104" s="73"/>
      <c r="C104" s="73"/>
      <c r="D104" s="73"/>
      <c r="E104" s="73"/>
      <c r="F104" s="73"/>
      <c r="G104" s="73"/>
      <c r="H104" s="73"/>
      <c r="I104" s="73"/>
      <c r="J104" s="73"/>
      <c r="K104" s="73"/>
      <c r="L104" s="73"/>
      <c r="M104" s="73"/>
      <c r="N104" s="73"/>
      <c r="O104" s="73"/>
      <c r="P104" s="73"/>
      <c r="Q104" s="73"/>
      <c r="R104" s="73"/>
      <c r="S104" s="73"/>
    </row>
    <row r="105" spans="1:19" ht="12.75">
      <c r="A105" s="73"/>
      <c r="B105" s="73"/>
      <c r="C105" s="73"/>
      <c r="D105" s="73"/>
      <c r="E105" s="73"/>
      <c r="F105" s="73"/>
      <c r="G105" s="73"/>
      <c r="H105" s="73"/>
      <c r="I105" s="73"/>
      <c r="J105" s="73"/>
      <c r="K105" s="73"/>
      <c r="L105" s="73"/>
      <c r="M105" s="73"/>
      <c r="N105" s="73"/>
      <c r="O105" s="73"/>
      <c r="P105" s="73"/>
      <c r="Q105" s="73"/>
      <c r="R105" s="73"/>
      <c r="S105" s="73"/>
    </row>
    <row r="106" spans="1:19" ht="12.75">
      <c r="A106" s="73"/>
      <c r="B106" s="73"/>
      <c r="C106" s="73"/>
      <c r="D106" s="73"/>
      <c r="E106" s="73"/>
      <c r="F106" s="73"/>
      <c r="G106" s="73"/>
      <c r="H106" s="73"/>
      <c r="I106" s="73"/>
      <c r="J106" s="73"/>
      <c r="K106" s="73"/>
      <c r="L106" s="73"/>
      <c r="M106" s="73"/>
      <c r="N106" s="73"/>
      <c r="O106" s="73"/>
      <c r="P106" s="73"/>
      <c r="Q106" s="73"/>
      <c r="R106" s="73"/>
      <c r="S106" s="73"/>
    </row>
    <row r="107" spans="1:19" ht="12.75">
      <c r="A107" s="73"/>
      <c r="B107" s="73"/>
      <c r="C107" s="73"/>
      <c r="D107" s="73"/>
      <c r="E107" s="73"/>
      <c r="F107" s="73"/>
      <c r="G107" s="73"/>
      <c r="H107" s="73"/>
      <c r="I107" s="73"/>
      <c r="J107" s="73"/>
      <c r="K107" s="73"/>
      <c r="L107" s="73"/>
      <c r="M107" s="73"/>
      <c r="N107" s="73"/>
      <c r="O107" s="73"/>
      <c r="P107" s="73"/>
      <c r="Q107" s="73"/>
      <c r="R107" s="73"/>
      <c r="S107" s="73"/>
    </row>
    <row r="108" spans="1:19" ht="12.75">
      <c r="A108" s="73"/>
      <c r="B108" s="73"/>
      <c r="C108" s="73"/>
      <c r="D108" s="73"/>
      <c r="E108" s="73"/>
      <c r="F108" s="73"/>
      <c r="G108" s="73"/>
      <c r="H108" s="73"/>
      <c r="I108" s="73"/>
      <c r="J108" s="73"/>
      <c r="K108" s="73"/>
      <c r="L108" s="73"/>
      <c r="M108" s="73"/>
      <c r="N108" s="73"/>
      <c r="O108" s="73"/>
      <c r="P108" s="73"/>
      <c r="Q108" s="73"/>
      <c r="R108" s="73"/>
      <c r="S108" s="73"/>
    </row>
    <row r="109" spans="1:19" ht="12.75">
      <c r="A109" s="73"/>
      <c r="B109" s="73"/>
      <c r="C109" s="73"/>
      <c r="D109" s="73"/>
      <c r="E109" s="73"/>
      <c r="F109" s="73"/>
      <c r="G109" s="73"/>
      <c r="H109" s="73"/>
      <c r="I109" s="73"/>
      <c r="J109" s="73"/>
      <c r="K109" s="73"/>
      <c r="L109" s="73"/>
      <c r="M109" s="73"/>
      <c r="N109" s="73"/>
      <c r="O109" s="73"/>
      <c r="P109" s="73"/>
      <c r="Q109" s="73"/>
      <c r="R109" s="73"/>
      <c r="S109" s="73"/>
    </row>
    <row r="110" spans="1:19" ht="12.75">
      <c r="A110" s="73"/>
      <c r="B110" s="73"/>
      <c r="C110" s="73"/>
      <c r="D110" s="73"/>
      <c r="E110" s="73"/>
      <c r="F110" s="73"/>
      <c r="G110" s="73"/>
      <c r="H110" s="73"/>
      <c r="I110" s="73"/>
      <c r="J110" s="73"/>
      <c r="K110" s="73"/>
      <c r="L110" s="73"/>
      <c r="M110" s="73"/>
      <c r="N110" s="73"/>
      <c r="O110" s="73"/>
      <c r="P110" s="73"/>
      <c r="Q110" s="73"/>
      <c r="R110" s="73"/>
      <c r="S110" s="73"/>
    </row>
    <row r="111" spans="1:19" ht="12.75">
      <c r="A111" s="73"/>
      <c r="B111" s="73"/>
      <c r="C111" s="73"/>
      <c r="D111" s="73"/>
      <c r="E111" s="73"/>
      <c r="F111" s="73"/>
      <c r="G111" s="73"/>
      <c r="H111" s="73"/>
      <c r="I111" s="73"/>
      <c r="J111" s="73"/>
      <c r="K111" s="73"/>
      <c r="L111" s="73"/>
      <c r="M111" s="73"/>
      <c r="N111" s="73"/>
      <c r="O111" s="73"/>
      <c r="P111" s="73"/>
      <c r="Q111" s="73"/>
      <c r="R111" s="73"/>
      <c r="S111" s="73"/>
    </row>
    <row r="112" spans="1:19" ht="12.75">
      <c r="A112" s="73"/>
      <c r="B112" s="73"/>
      <c r="C112" s="73"/>
      <c r="D112" s="73"/>
      <c r="E112" s="73"/>
      <c r="F112" s="73"/>
      <c r="G112" s="73"/>
      <c r="H112" s="73"/>
      <c r="I112" s="73"/>
      <c r="J112" s="73"/>
      <c r="K112" s="73"/>
      <c r="L112" s="73"/>
      <c r="M112" s="73"/>
      <c r="N112" s="73"/>
      <c r="O112" s="73"/>
      <c r="P112" s="73"/>
      <c r="Q112" s="73"/>
      <c r="R112" s="73"/>
      <c r="S112" s="73"/>
    </row>
    <row r="113" spans="1:19" ht="12.75">
      <c r="A113" s="73"/>
      <c r="B113" s="73"/>
      <c r="C113" s="73"/>
      <c r="D113" s="73"/>
      <c r="E113" s="73"/>
      <c r="F113" s="73"/>
      <c r="G113" s="73"/>
      <c r="H113" s="73"/>
      <c r="I113" s="73"/>
      <c r="J113" s="73"/>
      <c r="K113" s="73"/>
      <c r="L113" s="73"/>
      <c r="M113" s="73"/>
      <c r="N113" s="73"/>
      <c r="O113" s="73"/>
      <c r="P113" s="73"/>
      <c r="Q113" s="73"/>
      <c r="R113" s="73"/>
      <c r="S113" s="73"/>
    </row>
    <row r="114" spans="1:19" ht="12.75">
      <c r="A114" s="73"/>
      <c r="B114" s="73"/>
      <c r="C114" s="73"/>
      <c r="D114" s="73"/>
      <c r="E114" s="73"/>
      <c r="F114" s="73"/>
      <c r="G114" s="73"/>
      <c r="H114" s="73"/>
      <c r="I114" s="73"/>
      <c r="J114" s="73"/>
      <c r="K114" s="73"/>
      <c r="L114" s="73"/>
      <c r="M114" s="73"/>
      <c r="N114" s="73"/>
      <c r="O114" s="73"/>
      <c r="P114" s="73"/>
      <c r="Q114" s="73"/>
      <c r="R114" s="73"/>
      <c r="S114" s="73"/>
    </row>
    <row r="115" spans="1:19" ht="12.75">
      <c r="A115" s="73"/>
      <c r="B115" s="73"/>
      <c r="C115" s="73"/>
      <c r="D115" s="73"/>
      <c r="E115" s="73"/>
      <c r="F115" s="73"/>
      <c r="G115" s="73"/>
      <c r="H115" s="73"/>
      <c r="I115" s="73"/>
      <c r="J115" s="73"/>
      <c r="K115" s="73"/>
      <c r="L115" s="73"/>
      <c r="M115" s="73"/>
      <c r="N115" s="73"/>
      <c r="O115" s="73"/>
      <c r="P115" s="73"/>
      <c r="Q115" s="73"/>
      <c r="R115" s="73"/>
      <c r="S115" s="73"/>
    </row>
    <row r="116" spans="1:19" ht="12.75">
      <c r="A116" s="73"/>
      <c r="B116" s="73"/>
      <c r="C116" s="73"/>
      <c r="D116" s="73"/>
      <c r="E116" s="73"/>
      <c r="F116" s="73"/>
      <c r="G116" s="73"/>
      <c r="H116" s="73"/>
      <c r="I116" s="73"/>
      <c r="J116" s="73"/>
      <c r="K116" s="73"/>
      <c r="L116" s="73"/>
      <c r="M116" s="73"/>
      <c r="N116" s="73"/>
      <c r="O116" s="73"/>
      <c r="P116" s="73"/>
      <c r="Q116" s="73"/>
      <c r="R116" s="73"/>
      <c r="S116" s="73"/>
    </row>
    <row r="117" spans="1:19" ht="12.75">
      <c r="A117" s="73"/>
      <c r="B117" s="73"/>
      <c r="C117" s="73"/>
      <c r="D117" s="73"/>
      <c r="E117" s="73"/>
      <c r="F117" s="73"/>
      <c r="G117" s="73"/>
      <c r="H117" s="73"/>
      <c r="I117" s="73"/>
      <c r="J117" s="73"/>
      <c r="K117" s="73"/>
      <c r="L117" s="73"/>
      <c r="M117" s="73"/>
      <c r="N117" s="73"/>
      <c r="O117" s="73"/>
      <c r="P117" s="73"/>
      <c r="Q117" s="73"/>
      <c r="R117" s="73"/>
      <c r="S117" s="73"/>
    </row>
    <row r="118" spans="1:19" ht="12.75">
      <c r="A118" s="73"/>
      <c r="B118" s="73"/>
      <c r="C118" s="73"/>
      <c r="D118" s="73"/>
      <c r="E118" s="73"/>
      <c r="F118" s="73"/>
      <c r="G118" s="73"/>
      <c r="H118" s="73"/>
      <c r="I118" s="73"/>
      <c r="J118" s="73"/>
      <c r="K118" s="73"/>
      <c r="L118" s="73"/>
      <c r="M118" s="73"/>
      <c r="N118" s="73"/>
      <c r="O118" s="73"/>
      <c r="P118" s="73"/>
      <c r="Q118" s="73"/>
      <c r="R118" s="73"/>
      <c r="S118" s="73"/>
    </row>
    <row r="119" spans="1:19" ht="12.75">
      <c r="A119" s="73"/>
      <c r="B119" s="73"/>
      <c r="C119" s="73"/>
      <c r="D119" s="73"/>
      <c r="E119" s="73"/>
      <c r="F119" s="73"/>
      <c r="G119" s="73"/>
      <c r="H119" s="73"/>
      <c r="I119" s="73"/>
      <c r="J119" s="73"/>
      <c r="K119" s="73"/>
      <c r="L119" s="73"/>
      <c r="M119" s="73"/>
      <c r="N119" s="73"/>
      <c r="O119" s="73"/>
      <c r="P119" s="73"/>
      <c r="Q119" s="73"/>
      <c r="R119" s="73"/>
      <c r="S119" s="73"/>
    </row>
    <row r="120" spans="1:19" ht="12.75">
      <c r="A120" s="73"/>
      <c r="B120" s="73"/>
      <c r="C120" s="73"/>
      <c r="D120" s="73"/>
      <c r="E120" s="73"/>
      <c r="F120" s="73"/>
      <c r="G120" s="73"/>
      <c r="H120" s="73"/>
      <c r="I120" s="73"/>
      <c r="J120" s="73"/>
      <c r="K120" s="73"/>
      <c r="L120" s="73"/>
      <c r="M120" s="73"/>
      <c r="N120" s="73"/>
      <c r="O120" s="73"/>
      <c r="P120" s="73"/>
      <c r="Q120" s="73"/>
      <c r="R120" s="73"/>
      <c r="S120" s="73"/>
    </row>
    <row r="121" spans="1:19" ht="12.75">
      <c r="A121" s="73"/>
      <c r="B121" s="73"/>
      <c r="C121" s="73"/>
      <c r="D121" s="73"/>
      <c r="E121" s="73"/>
      <c r="F121" s="73"/>
      <c r="G121" s="73"/>
      <c r="H121" s="73"/>
      <c r="I121" s="73"/>
      <c r="J121" s="73"/>
      <c r="K121" s="73"/>
      <c r="L121" s="73"/>
      <c r="M121" s="73"/>
      <c r="N121" s="73"/>
      <c r="O121" s="73"/>
      <c r="P121" s="73"/>
      <c r="Q121" s="73"/>
      <c r="R121" s="73"/>
      <c r="S121" s="73"/>
    </row>
    <row r="122" spans="1:19" ht="12.75">
      <c r="A122" s="73"/>
      <c r="B122" s="73"/>
      <c r="C122" s="73"/>
      <c r="D122" s="73"/>
      <c r="E122" s="73"/>
      <c r="F122" s="73"/>
      <c r="G122" s="73"/>
      <c r="H122" s="73"/>
      <c r="I122" s="73"/>
      <c r="J122" s="73"/>
      <c r="K122" s="73"/>
      <c r="L122" s="73"/>
      <c r="M122" s="73"/>
      <c r="N122" s="73"/>
      <c r="O122" s="73"/>
      <c r="P122" s="73"/>
      <c r="Q122" s="73"/>
      <c r="R122" s="73"/>
      <c r="S122" s="73"/>
    </row>
    <row r="123" spans="1:19" ht="12.75">
      <c r="A123" s="73"/>
      <c r="B123" s="73"/>
      <c r="C123" s="73"/>
      <c r="D123" s="73"/>
      <c r="E123" s="73"/>
      <c r="F123" s="73"/>
      <c r="G123" s="73"/>
      <c r="H123" s="73"/>
      <c r="I123" s="73"/>
      <c r="J123" s="73"/>
      <c r="K123" s="73"/>
      <c r="L123" s="73"/>
      <c r="M123" s="73"/>
      <c r="N123" s="73"/>
      <c r="O123" s="73"/>
      <c r="P123" s="73"/>
      <c r="Q123" s="73"/>
      <c r="R123" s="73"/>
      <c r="S123" s="73"/>
    </row>
    <row r="124" spans="1:19" ht="12.75">
      <c r="A124" s="73"/>
      <c r="B124" s="73"/>
      <c r="C124" s="73"/>
      <c r="D124" s="73"/>
      <c r="E124" s="73"/>
      <c r="F124" s="73"/>
      <c r="G124" s="73"/>
      <c r="H124" s="73"/>
      <c r="I124" s="73"/>
      <c r="J124" s="73"/>
      <c r="K124" s="73"/>
      <c r="L124" s="73"/>
      <c r="M124" s="73"/>
      <c r="N124" s="73"/>
      <c r="O124" s="73"/>
      <c r="P124" s="73"/>
      <c r="Q124" s="73"/>
      <c r="R124" s="73"/>
      <c r="S124" s="73"/>
    </row>
    <row r="125" spans="1:19" ht="12.75">
      <c r="A125" s="73"/>
      <c r="B125" s="73"/>
      <c r="C125" s="73"/>
      <c r="D125" s="73"/>
      <c r="E125" s="73"/>
      <c r="F125" s="73"/>
      <c r="G125" s="73"/>
      <c r="H125" s="73"/>
      <c r="I125" s="73"/>
      <c r="J125" s="73"/>
      <c r="K125" s="73"/>
      <c r="L125" s="73"/>
      <c r="M125" s="73"/>
      <c r="N125" s="73"/>
      <c r="O125" s="73"/>
      <c r="P125" s="73"/>
      <c r="Q125" s="73"/>
      <c r="R125" s="73"/>
      <c r="S125" s="73"/>
    </row>
    <row r="126" spans="1:19" ht="12.75">
      <c r="A126" s="73"/>
      <c r="B126" s="73"/>
      <c r="C126" s="73"/>
      <c r="D126" s="73"/>
      <c r="E126" s="73"/>
      <c r="F126" s="73"/>
      <c r="G126" s="73"/>
      <c r="H126" s="73"/>
      <c r="I126" s="73"/>
      <c r="J126" s="73"/>
      <c r="K126" s="73"/>
      <c r="L126" s="73"/>
      <c r="M126" s="73"/>
      <c r="N126" s="73"/>
      <c r="O126" s="73"/>
      <c r="P126" s="73"/>
      <c r="Q126" s="73"/>
      <c r="R126" s="73"/>
      <c r="S126" s="73"/>
    </row>
    <row r="127" spans="1:19" ht="12.75">
      <c r="A127" s="73"/>
      <c r="B127" s="73"/>
      <c r="C127" s="73"/>
      <c r="D127" s="73"/>
      <c r="E127" s="73"/>
      <c r="F127" s="73"/>
      <c r="G127" s="73"/>
      <c r="H127" s="73"/>
      <c r="I127" s="73"/>
      <c r="J127" s="73"/>
      <c r="K127" s="73"/>
      <c r="L127" s="73"/>
      <c r="M127" s="73"/>
      <c r="N127" s="73"/>
      <c r="O127" s="73"/>
      <c r="P127" s="73"/>
      <c r="Q127" s="73"/>
      <c r="R127" s="73"/>
      <c r="S127" s="73"/>
    </row>
    <row r="128" spans="1:19" ht="12.75">
      <c r="A128" s="73"/>
      <c r="B128" s="73"/>
      <c r="C128" s="73"/>
      <c r="D128" s="73"/>
      <c r="E128" s="73"/>
      <c r="F128" s="73"/>
      <c r="G128" s="73"/>
      <c r="H128" s="73"/>
      <c r="I128" s="73"/>
      <c r="J128" s="73"/>
      <c r="K128" s="73"/>
      <c r="L128" s="73"/>
      <c r="M128" s="73"/>
      <c r="N128" s="73"/>
      <c r="O128" s="73"/>
      <c r="P128" s="73"/>
      <c r="Q128" s="73"/>
      <c r="R128" s="73"/>
      <c r="S128" s="73"/>
    </row>
    <row r="129" spans="1:19" ht="12.75">
      <c r="A129" s="73"/>
      <c r="B129" s="73"/>
      <c r="C129" s="73"/>
      <c r="D129" s="73"/>
      <c r="E129" s="73"/>
      <c r="F129" s="73"/>
      <c r="G129" s="73"/>
      <c r="H129" s="73"/>
      <c r="I129" s="73"/>
      <c r="J129" s="73"/>
      <c r="K129" s="73"/>
      <c r="L129" s="73"/>
      <c r="M129" s="73"/>
      <c r="N129" s="73"/>
      <c r="O129" s="73"/>
      <c r="P129" s="73"/>
      <c r="Q129" s="73"/>
      <c r="R129" s="73"/>
      <c r="S129" s="73"/>
    </row>
    <row r="130" spans="1:19" ht="12.75">
      <c r="A130" s="73"/>
      <c r="B130" s="73"/>
      <c r="C130" s="73"/>
      <c r="D130" s="73"/>
      <c r="E130" s="73"/>
      <c r="F130" s="73"/>
      <c r="G130" s="73"/>
      <c r="H130" s="73"/>
      <c r="I130" s="73"/>
      <c r="J130" s="73"/>
      <c r="K130" s="73"/>
      <c r="L130" s="73"/>
      <c r="M130" s="73"/>
      <c r="N130" s="73"/>
      <c r="O130" s="73"/>
      <c r="P130" s="73"/>
      <c r="Q130" s="73"/>
      <c r="R130" s="73"/>
      <c r="S130" s="73"/>
    </row>
    <row r="131" spans="1:19" ht="12.75">
      <c r="A131" s="73"/>
      <c r="B131" s="73"/>
      <c r="C131" s="73"/>
      <c r="D131" s="73"/>
      <c r="E131" s="73"/>
      <c r="F131" s="73"/>
      <c r="G131" s="73"/>
      <c r="H131" s="73"/>
      <c r="I131" s="73"/>
      <c r="J131" s="73"/>
      <c r="K131" s="73"/>
      <c r="L131" s="73"/>
      <c r="M131" s="73"/>
      <c r="N131" s="73"/>
      <c r="O131" s="73"/>
      <c r="P131" s="73"/>
      <c r="Q131" s="73"/>
      <c r="R131" s="73"/>
      <c r="S131" s="73"/>
    </row>
    <row r="132" spans="1:19" ht="12.75">
      <c r="A132" s="73"/>
      <c r="B132" s="73"/>
      <c r="C132" s="73"/>
      <c r="D132" s="73"/>
      <c r="E132" s="73"/>
      <c r="F132" s="73"/>
      <c r="G132" s="73"/>
      <c r="H132" s="73"/>
      <c r="I132" s="73"/>
      <c r="J132" s="73"/>
      <c r="K132" s="73"/>
      <c r="L132" s="73"/>
      <c r="M132" s="73"/>
      <c r="N132" s="73"/>
      <c r="O132" s="73"/>
      <c r="P132" s="73"/>
      <c r="Q132" s="73"/>
      <c r="R132" s="73"/>
      <c r="S132" s="73"/>
    </row>
    <row r="133" spans="1:19" ht="12.75">
      <c r="A133" s="73"/>
      <c r="B133" s="73"/>
      <c r="C133" s="73"/>
      <c r="D133" s="73"/>
      <c r="E133" s="73"/>
      <c r="F133" s="73"/>
      <c r="G133" s="73"/>
      <c r="H133" s="73"/>
      <c r="I133" s="73"/>
      <c r="J133" s="73"/>
      <c r="K133" s="73"/>
      <c r="L133" s="73"/>
      <c r="M133" s="73"/>
      <c r="N133" s="73"/>
      <c r="O133" s="73"/>
      <c r="P133" s="73"/>
      <c r="Q133" s="73"/>
      <c r="R133" s="73"/>
      <c r="S133" s="73"/>
    </row>
    <row r="134" spans="1:19" ht="12.75">
      <c r="A134" s="73"/>
      <c r="B134" s="73"/>
      <c r="C134" s="73"/>
      <c r="D134" s="73"/>
      <c r="E134" s="73"/>
      <c r="F134" s="73"/>
      <c r="G134" s="73"/>
      <c r="H134" s="73"/>
      <c r="I134" s="73"/>
      <c r="J134" s="73"/>
      <c r="K134" s="73"/>
      <c r="L134" s="73"/>
      <c r="M134" s="73"/>
      <c r="N134" s="73"/>
      <c r="O134" s="73"/>
      <c r="P134" s="73"/>
      <c r="Q134" s="73"/>
      <c r="R134" s="73"/>
      <c r="S134" s="73"/>
    </row>
    <row r="135" spans="1:19" ht="12.75">
      <c r="A135" s="73"/>
      <c r="B135" s="73"/>
      <c r="C135" s="73"/>
      <c r="D135" s="73"/>
      <c r="E135" s="73"/>
      <c r="F135" s="73"/>
      <c r="G135" s="73"/>
      <c r="H135" s="73"/>
      <c r="I135" s="73"/>
      <c r="J135" s="73"/>
      <c r="K135" s="73"/>
      <c r="L135" s="73"/>
      <c r="M135" s="73"/>
      <c r="N135" s="73"/>
      <c r="O135" s="73"/>
      <c r="P135" s="73"/>
      <c r="Q135" s="73"/>
      <c r="R135" s="73"/>
      <c r="S135" s="73"/>
    </row>
    <row r="136" spans="1:19" ht="12.75">
      <c r="A136" s="73"/>
      <c r="B136" s="73"/>
      <c r="C136" s="73"/>
      <c r="D136" s="73"/>
      <c r="E136" s="73"/>
      <c r="F136" s="73"/>
      <c r="G136" s="73"/>
      <c r="H136" s="73"/>
      <c r="I136" s="73"/>
      <c r="J136" s="73"/>
      <c r="K136" s="73"/>
      <c r="L136" s="73"/>
      <c r="M136" s="73"/>
      <c r="N136" s="73"/>
      <c r="O136" s="73"/>
      <c r="P136" s="73"/>
      <c r="Q136" s="73"/>
      <c r="R136" s="73"/>
      <c r="S136" s="73"/>
    </row>
    <row r="137" spans="1:19" ht="12.75">
      <c r="A137" s="73"/>
      <c r="B137" s="73"/>
      <c r="C137" s="73"/>
      <c r="D137" s="73"/>
      <c r="E137" s="73"/>
      <c r="F137" s="73"/>
      <c r="G137" s="73"/>
      <c r="H137" s="73"/>
      <c r="I137" s="73"/>
      <c r="J137" s="73"/>
      <c r="K137" s="73"/>
      <c r="L137" s="73"/>
      <c r="M137" s="73"/>
      <c r="N137" s="73"/>
      <c r="O137" s="73"/>
      <c r="P137" s="73"/>
      <c r="Q137" s="73"/>
      <c r="R137" s="73"/>
      <c r="S137" s="73"/>
    </row>
    <row r="138" spans="1:19" ht="12.75">
      <c r="A138" s="73"/>
      <c r="B138" s="73"/>
      <c r="C138" s="73"/>
      <c r="D138" s="73"/>
      <c r="E138" s="73"/>
      <c r="F138" s="73"/>
      <c r="G138" s="73"/>
      <c r="H138" s="73"/>
      <c r="I138" s="73"/>
      <c r="J138" s="73"/>
      <c r="K138" s="73"/>
      <c r="L138" s="73"/>
      <c r="M138" s="73"/>
      <c r="N138" s="73"/>
      <c r="O138" s="73"/>
      <c r="P138" s="73"/>
      <c r="Q138" s="73"/>
      <c r="R138" s="73"/>
      <c r="S138" s="73"/>
    </row>
    <row r="139" spans="1:19" ht="12.75">
      <c r="A139" s="73"/>
      <c r="B139" s="73"/>
      <c r="C139" s="73"/>
      <c r="D139" s="73"/>
      <c r="E139" s="73"/>
      <c r="F139" s="73"/>
      <c r="G139" s="73"/>
      <c r="H139" s="73"/>
      <c r="I139" s="73"/>
      <c r="J139" s="73"/>
      <c r="K139" s="73"/>
      <c r="L139" s="73"/>
      <c r="M139" s="73"/>
      <c r="N139" s="73"/>
      <c r="O139" s="73"/>
      <c r="P139" s="73"/>
      <c r="Q139" s="73"/>
      <c r="R139" s="73"/>
      <c r="S139" s="73"/>
    </row>
    <row r="140" spans="1:19" ht="12.75">
      <c r="A140" s="73"/>
      <c r="B140" s="73"/>
      <c r="C140" s="73"/>
      <c r="D140" s="73"/>
      <c r="E140" s="73"/>
      <c r="F140" s="73"/>
      <c r="G140" s="73"/>
      <c r="H140" s="73"/>
      <c r="I140" s="73"/>
      <c r="J140" s="73"/>
      <c r="K140" s="73"/>
      <c r="L140" s="73"/>
      <c r="M140" s="73"/>
      <c r="N140" s="73"/>
      <c r="O140" s="73"/>
      <c r="P140" s="73"/>
      <c r="Q140" s="73"/>
      <c r="R140" s="73"/>
      <c r="S140" s="73"/>
    </row>
    <row r="141" spans="1:19" ht="12.75">
      <c r="A141" s="73"/>
      <c r="B141" s="73"/>
      <c r="C141" s="73"/>
      <c r="D141" s="73"/>
      <c r="E141" s="73"/>
      <c r="F141" s="73"/>
      <c r="G141" s="73"/>
      <c r="H141" s="73"/>
      <c r="I141" s="73"/>
      <c r="J141" s="73"/>
      <c r="K141" s="73"/>
      <c r="L141" s="73"/>
      <c r="M141" s="73"/>
      <c r="N141" s="73"/>
      <c r="O141" s="73"/>
      <c r="P141" s="73"/>
      <c r="Q141" s="73"/>
      <c r="R141" s="73"/>
      <c r="S141" s="73"/>
    </row>
    <row r="142" spans="1:19" ht="12.75">
      <c r="A142" s="73"/>
      <c r="B142" s="73"/>
      <c r="C142" s="73"/>
      <c r="D142" s="73"/>
      <c r="E142" s="73"/>
      <c r="F142" s="73"/>
      <c r="G142" s="73"/>
      <c r="H142" s="73"/>
      <c r="I142" s="73"/>
      <c r="J142" s="73"/>
      <c r="K142" s="73"/>
      <c r="L142" s="73"/>
      <c r="M142" s="73"/>
      <c r="N142" s="73"/>
      <c r="O142" s="73"/>
      <c r="P142" s="73"/>
      <c r="Q142" s="73"/>
      <c r="R142" s="73"/>
      <c r="S142" s="73"/>
    </row>
    <row r="143" spans="1:19" ht="12.75">
      <c r="A143" s="73"/>
      <c r="B143" s="73"/>
      <c r="C143" s="73"/>
      <c r="D143" s="73"/>
      <c r="E143" s="73"/>
      <c r="F143" s="73"/>
      <c r="G143" s="73"/>
      <c r="H143" s="73"/>
      <c r="I143" s="73"/>
      <c r="J143" s="73"/>
      <c r="K143" s="73"/>
      <c r="L143" s="73"/>
      <c r="M143" s="73"/>
      <c r="N143" s="73"/>
      <c r="O143" s="73"/>
      <c r="P143" s="73"/>
      <c r="Q143" s="73"/>
      <c r="R143" s="73"/>
      <c r="S143" s="73"/>
    </row>
    <row r="144" spans="1:19" ht="12.75">
      <c r="A144" s="73"/>
      <c r="B144" s="73"/>
      <c r="C144" s="73"/>
      <c r="D144" s="73"/>
      <c r="E144" s="73"/>
      <c r="F144" s="73"/>
      <c r="G144" s="73"/>
      <c r="H144" s="73"/>
      <c r="I144" s="73"/>
      <c r="J144" s="73"/>
      <c r="K144" s="73"/>
      <c r="L144" s="73"/>
      <c r="M144" s="73"/>
      <c r="N144" s="73"/>
      <c r="O144" s="73"/>
      <c r="P144" s="73"/>
      <c r="Q144" s="73"/>
      <c r="R144" s="73"/>
      <c r="S144" s="73"/>
    </row>
    <row r="145" spans="1:19" ht="12.75">
      <c r="A145" s="73"/>
      <c r="B145" s="73"/>
      <c r="C145" s="73"/>
      <c r="D145" s="73"/>
      <c r="E145" s="73"/>
      <c r="F145" s="73"/>
      <c r="G145" s="73"/>
      <c r="H145" s="73"/>
      <c r="I145" s="73"/>
      <c r="J145" s="73"/>
      <c r="K145" s="73"/>
      <c r="L145" s="73"/>
      <c r="M145" s="73"/>
      <c r="N145" s="73"/>
      <c r="O145" s="73"/>
      <c r="P145" s="73"/>
      <c r="Q145" s="73"/>
      <c r="R145" s="73"/>
      <c r="S145" s="73"/>
    </row>
    <row r="146" spans="1:19" ht="12.75">
      <c r="A146" s="73"/>
      <c r="B146" s="73"/>
      <c r="C146" s="73"/>
      <c r="D146" s="73"/>
      <c r="E146" s="73"/>
      <c r="F146" s="73"/>
      <c r="G146" s="73"/>
      <c r="H146" s="73"/>
      <c r="I146" s="73"/>
      <c r="J146" s="73"/>
      <c r="K146" s="73"/>
      <c r="L146" s="73"/>
      <c r="M146" s="73"/>
      <c r="N146" s="73"/>
      <c r="O146" s="73"/>
      <c r="P146" s="73"/>
      <c r="Q146" s="73"/>
      <c r="R146" s="73"/>
      <c r="S146" s="73"/>
    </row>
    <row r="147" spans="1:19" ht="12.75">
      <c r="A147" s="73"/>
      <c r="B147" s="73"/>
      <c r="C147" s="73"/>
      <c r="D147" s="73"/>
      <c r="E147" s="73"/>
      <c r="F147" s="73"/>
      <c r="G147" s="73"/>
      <c r="H147" s="73"/>
      <c r="I147" s="73"/>
      <c r="J147" s="73"/>
      <c r="K147" s="73"/>
      <c r="L147" s="73"/>
      <c r="M147" s="73"/>
      <c r="N147" s="73"/>
      <c r="O147" s="73"/>
      <c r="P147" s="73"/>
      <c r="Q147" s="73"/>
      <c r="R147" s="73"/>
      <c r="S147" s="73"/>
    </row>
    <row r="148" spans="1:19" ht="12.75">
      <c r="A148" s="73"/>
      <c r="B148" s="73"/>
      <c r="C148" s="73"/>
      <c r="D148" s="73"/>
      <c r="E148" s="73"/>
      <c r="F148" s="73"/>
      <c r="G148" s="73"/>
      <c r="H148" s="73"/>
      <c r="I148" s="73"/>
      <c r="J148" s="73"/>
      <c r="K148" s="73"/>
      <c r="L148" s="73"/>
      <c r="M148" s="73"/>
      <c r="N148" s="73"/>
      <c r="O148" s="73"/>
      <c r="P148" s="73"/>
      <c r="Q148" s="73"/>
      <c r="R148" s="73"/>
      <c r="S148" s="73"/>
    </row>
    <row r="149" spans="1:19" ht="12.75">
      <c r="A149" s="73"/>
      <c r="B149" s="73"/>
      <c r="C149" s="73"/>
      <c r="D149" s="73"/>
      <c r="E149" s="73"/>
      <c r="F149" s="73"/>
      <c r="G149" s="73"/>
      <c r="H149" s="73"/>
      <c r="I149" s="73"/>
      <c r="J149" s="73"/>
      <c r="K149" s="73"/>
      <c r="L149" s="73"/>
      <c r="M149" s="73"/>
      <c r="N149" s="73"/>
      <c r="O149" s="73"/>
      <c r="P149" s="73"/>
      <c r="Q149" s="73"/>
      <c r="R149" s="73"/>
      <c r="S149" s="73"/>
    </row>
    <row r="150" spans="1:19" ht="12.75">
      <c r="A150" s="73"/>
      <c r="B150" s="73"/>
      <c r="C150" s="73"/>
      <c r="D150" s="73"/>
      <c r="E150" s="73"/>
      <c r="F150" s="73"/>
      <c r="G150" s="73"/>
      <c r="H150" s="73"/>
      <c r="I150" s="73"/>
      <c r="J150" s="73"/>
      <c r="K150" s="73"/>
      <c r="L150" s="73"/>
      <c r="M150" s="73"/>
      <c r="N150" s="73"/>
      <c r="O150" s="73"/>
      <c r="P150" s="73"/>
      <c r="Q150" s="73"/>
      <c r="R150" s="73"/>
      <c r="S150" s="73"/>
    </row>
    <row r="151" spans="1:19" ht="12.75">
      <c r="A151" s="73"/>
      <c r="B151" s="73"/>
      <c r="C151" s="73"/>
      <c r="D151" s="73"/>
      <c r="E151" s="73"/>
      <c r="F151" s="73"/>
      <c r="G151" s="73"/>
      <c r="H151" s="73"/>
      <c r="I151" s="73"/>
      <c r="J151" s="73"/>
      <c r="K151" s="73"/>
      <c r="L151" s="73"/>
      <c r="M151" s="73"/>
      <c r="N151" s="73"/>
      <c r="O151" s="73"/>
      <c r="P151" s="73"/>
      <c r="Q151" s="73"/>
      <c r="R151" s="73"/>
      <c r="S151" s="73"/>
    </row>
    <row r="152" spans="1:19" ht="12.75">
      <c r="A152" s="73"/>
      <c r="B152" s="73"/>
      <c r="C152" s="73"/>
      <c r="D152" s="73"/>
      <c r="E152" s="73"/>
      <c r="F152" s="73"/>
      <c r="G152" s="73"/>
      <c r="H152" s="73"/>
      <c r="I152" s="73"/>
      <c r="J152" s="73"/>
      <c r="K152" s="73"/>
      <c r="L152" s="73"/>
      <c r="M152" s="73"/>
      <c r="N152" s="73"/>
      <c r="O152" s="73"/>
      <c r="P152" s="73"/>
      <c r="Q152" s="73"/>
      <c r="R152" s="73"/>
      <c r="S152" s="73"/>
    </row>
    <row r="153" spans="1:19" ht="12.75">
      <c r="A153" s="73"/>
      <c r="B153" s="73"/>
      <c r="C153" s="73"/>
      <c r="D153" s="73"/>
      <c r="E153" s="73"/>
      <c r="F153" s="73"/>
      <c r="G153" s="73"/>
      <c r="H153" s="73"/>
      <c r="I153" s="73"/>
      <c r="J153" s="73"/>
      <c r="K153" s="73"/>
      <c r="L153" s="73"/>
      <c r="M153" s="73"/>
      <c r="N153" s="73"/>
      <c r="O153" s="73"/>
      <c r="P153" s="73"/>
      <c r="Q153" s="73"/>
      <c r="R153" s="73"/>
      <c r="S153" s="73"/>
    </row>
    <row r="154" spans="1:19" ht="12.75">
      <c r="A154" s="73"/>
      <c r="B154" s="73"/>
      <c r="C154" s="73"/>
      <c r="D154" s="73"/>
      <c r="E154" s="73"/>
      <c r="F154" s="73"/>
      <c r="G154" s="73"/>
      <c r="H154" s="73"/>
      <c r="I154" s="73"/>
      <c r="J154" s="73"/>
      <c r="K154" s="73"/>
      <c r="L154" s="73"/>
      <c r="M154" s="73"/>
      <c r="N154" s="73"/>
      <c r="O154" s="73"/>
      <c r="P154" s="73"/>
      <c r="Q154" s="73"/>
      <c r="R154" s="73"/>
      <c r="S154" s="73"/>
    </row>
    <row r="155" spans="1:19" ht="12.75">
      <c r="A155" s="73"/>
      <c r="B155" s="73"/>
      <c r="C155" s="73"/>
      <c r="D155" s="73"/>
      <c r="E155" s="73"/>
      <c r="F155" s="73"/>
      <c r="G155" s="73"/>
      <c r="H155" s="73"/>
      <c r="I155" s="73"/>
      <c r="J155" s="73"/>
      <c r="K155" s="73"/>
      <c r="L155" s="73"/>
      <c r="M155" s="73"/>
      <c r="N155" s="73"/>
      <c r="O155" s="73"/>
      <c r="P155" s="73"/>
      <c r="Q155" s="73"/>
      <c r="R155" s="73"/>
      <c r="S155" s="73"/>
    </row>
    <row r="156" spans="1:19" ht="12.75">
      <c r="A156" s="73"/>
      <c r="B156" s="73"/>
      <c r="C156" s="73"/>
      <c r="D156" s="73"/>
      <c r="E156" s="73"/>
      <c r="F156" s="73"/>
      <c r="G156" s="73"/>
      <c r="H156" s="73"/>
      <c r="I156" s="73"/>
      <c r="J156" s="73"/>
      <c r="K156" s="73"/>
      <c r="L156" s="73"/>
      <c r="M156" s="73"/>
      <c r="N156" s="73"/>
      <c r="O156" s="73"/>
      <c r="P156" s="73"/>
      <c r="Q156" s="73"/>
      <c r="R156" s="73"/>
      <c r="S156" s="73"/>
    </row>
    <row r="157" spans="1:19" ht="12.75">
      <c r="A157" s="73"/>
      <c r="B157" s="73"/>
      <c r="C157" s="73"/>
      <c r="D157" s="73"/>
      <c r="E157" s="73"/>
      <c r="F157" s="73"/>
      <c r="G157" s="73"/>
      <c r="H157" s="73"/>
      <c r="I157" s="73"/>
      <c r="J157" s="73"/>
      <c r="K157" s="73"/>
      <c r="L157" s="73"/>
      <c r="M157" s="73"/>
      <c r="N157" s="73"/>
      <c r="O157" s="73"/>
      <c r="P157" s="73"/>
      <c r="Q157" s="73"/>
      <c r="R157" s="73"/>
      <c r="S157" s="73"/>
    </row>
    <row r="158" spans="1:19" ht="12.75">
      <c r="A158" s="73"/>
      <c r="B158" s="73"/>
      <c r="C158" s="73"/>
      <c r="D158" s="73"/>
      <c r="E158" s="73"/>
      <c r="F158" s="73"/>
      <c r="G158" s="73"/>
      <c r="H158" s="73"/>
      <c r="I158" s="73"/>
      <c r="J158" s="73"/>
      <c r="K158" s="73"/>
      <c r="L158" s="73"/>
      <c r="M158" s="73"/>
      <c r="N158" s="73"/>
      <c r="O158" s="73"/>
      <c r="P158" s="73"/>
      <c r="Q158" s="73"/>
      <c r="R158" s="73"/>
      <c r="S158" s="73"/>
    </row>
    <row r="159" spans="1:19" ht="12.75">
      <c r="A159" s="73"/>
      <c r="B159" s="73"/>
      <c r="C159" s="73"/>
      <c r="D159" s="73"/>
      <c r="E159" s="73"/>
      <c r="F159" s="73"/>
      <c r="G159" s="73"/>
      <c r="H159" s="73"/>
      <c r="I159" s="73"/>
      <c r="J159" s="73"/>
      <c r="K159" s="73"/>
      <c r="L159" s="73"/>
      <c r="M159" s="73"/>
      <c r="N159" s="73"/>
      <c r="O159" s="73"/>
      <c r="P159" s="73"/>
      <c r="Q159" s="73"/>
      <c r="R159" s="73"/>
      <c r="S159" s="73"/>
    </row>
    <row r="160" spans="1:19" ht="12.75">
      <c r="A160" s="73"/>
      <c r="B160" s="73"/>
      <c r="C160" s="73"/>
      <c r="D160" s="73"/>
      <c r="E160" s="73"/>
      <c r="F160" s="73"/>
      <c r="G160" s="73"/>
      <c r="H160" s="73"/>
      <c r="I160" s="73"/>
      <c r="J160" s="73"/>
      <c r="K160" s="73"/>
      <c r="L160" s="73"/>
      <c r="M160" s="73"/>
      <c r="N160" s="73"/>
      <c r="O160" s="73"/>
      <c r="P160" s="73"/>
      <c r="Q160" s="73"/>
      <c r="R160" s="73"/>
      <c r="S160" s="73"/>
    </row>
    <row r="161" spans="1:19" ht="12.75">
      <c r="A161" s="73"/>
      <c r="B161" s="73"/>
      <c r="C161" s="73"/>
      <c r="D161" s="73"/>
      <c r="E161" s="73"/>
      <c r="F161" s="73"/>
      <c r="G161" s="73"/>
      <c r="H161" s="73"/>
      <c r="I161" s="73"/>
      <c r="J161" s="73"/>
      <c r="K161" s="73"/>
      <c r="L161" s="73"/>
      <c r="M161" s="73"/>
      <c r="N161" s="73"/>
      <c r="O161" s="73"/>
      <c r="P161" s="73"/>
      <c r="Q161" s="73"/>
      <c r="R161" s="73"/>
      <c r="S161" s="73"/>
    </row>
    <row r="162" spans="1:19" ht="12.75">
      <c r="A162" s="73"/>
      <c r="B162" s="73"/>
      <c r="C162" s="73"/>
      <c r="D162" s="73"/>
      <c r="E162" s="73"/>
      <c r="F162" s="73"/>
      <c r="G162" s="73"/>
      <c r="H162" s="73"/>
      <c r="I162" s="73"/>
      <c r="J162" s="73"/>
      <c r="K162" s="73"/>
      <c r="L162" s="73"/>
      <c r="M162" s="73"/>
      <c r="N162" s="73"/>
      <c r="O162" s="73"/>
      <c r="P162" s="73"/>
      <c r="Q162" s="73"/>
      <c r="R162" s="73"/>
      <c r="S162" s="73"/>
    </row>
    <row r="163" spans="1:19" ht="12.75">
      <c r="A163" s="73"/>
      <c r="B163" s="73"/>
      <c r="C163" s="73"/>
      <c r="D163" s="73"/>
      <c r="E163" s="73"/>
      <c r="F163" s="73"/>
      <c r="G163" s="73"/>
      <c r="H163" s="73"/>
      <c r="I163" s="73"/>
      <c r="J163" s="73"/>
      <c r="K163" s="73"/>
      <c r="L163" s="73"/>
      <c r="M163" s="73"/>
      <c r="N163" s="73"/>
      <c r="O163" s="73"/>
      <c r="P163" s="73"/>
      <c r="Q163" s="73"/>
      <c r="R163" s="73"/>
      <c r="S163" s="73"/>
    </row>
    <row r="164" spans="1:19" ht="12.75">
      <c r="A164" s="73"/>
      <c r="B164" s="73"/>
      <c r="C164" s="73"/>
      <c r="D164" s="73"/>
      <c r="E164" s="73"/>
      <c r="F164" s="73"/>
      <c r="G164" s="73"/>
      <c r="H164" s="73"/>
      <c r="I164" s="73"/>
      <c r="J164" s="73"/>
      <c r="K164" s="73"/>
      <c r="L164" s="73"/>
      <c r="M164" s="73"/>
      <c r="N164" s="73"/>
      <c r="O164" s="73"/>
      <c r="P164" s="73"/>
      <c r="Q164" s="73"/>
      <c r="R164" s="73"/>
      <c r="S164" s="73"/>
    </row>
    <row r="165" spans="1:19" ht="12.75">
      <c r="A165" s="73"/>
      <c r="B165" s="73"/>
      <c r="C165" s="73"/>
      <c r="D165" s="73"/>
      <c r="E165" s="73"/>
      <c r="F165" s="73"/>
      <c r="G165" s="73"/>
      <c r="H165" s="73"/>
      <c r="I165" s="73"/>
      <c r="J165" s="73"/>
      <c r="K165" s="73"/>
      <c r="L165" s="73"/>
      <c r="M165" s="73"/>
      <c r="N165" s="73"/>
      <c r="O165" s="73"/>
      <c r="P165" s="73"/>
      <c r="Q165" s="73"/>
      <c r="R165" s="73"/>
      <c r="S165" s="73"/>
    </row>
    <row r="166" spans="1:19" ht="12.75">
      <c r="A166" s="73"/>
      <c r="B166" s="73"/>
      <c r="C166" s="73"/>
      <c r="D166" s="73"/>
      <c r="E166" s="73"/>
      <c r="F166" s="73"/>
      <c r="G166" s="73"/>
      <c r="H166" s="73"/>
      <c r="I166" s="73"/>
      <c r="J166" s="73"/>
      <c r="K166" s="73"/>
      <c r="L166" s="73"/>
      <c r="M166" s="73"/>
      <c r="N166" s="73"/>
      <c r="O166" s="73"/>
      <c r="P166" s="73"/>
      <c r="Q166" s="73"/>
      <c r="R166" s="73"/>
      <c r="S166" s="73"/>
    </row>
    <row r="167" spans="1:19" ht="12.75">
      <c r="A167" s="73"/>
      <c r="B167" s="73"/>
      <c r="C167" s="73"/>
      <c r="D167" s="73"/>
      <c r="E167" s="73"/>
      <c r="F167" s="73"/>
      <c r="G167" s="73"/>
      <c r="H167" s="73"/>
      <c r="I167" s="73"/>
      <c r="J167" s="73"/>
      <c r="K167" s="73"/>
      <c r="L167" s="73"/>
      <c r="M167" s="73"/>
      <c r="N167" s="73"/>
      <c r="O167" s="73"/>
      <c r="P167" s="73"/>
      <c r="Q167" s="73"/>
      <c r="R167" s="73"/>
      <c r="S167" s="73"/>
    </row>
    <row r="168" spans="1:19" ht="12.75">
      <c r="A168" s="73"/>
      <c r="B168" s="73"/>
      <c r="C168" s="73"/>
      <c r="D168" s="73"/>
      <c r="E168" s="73"/>
      <c r="F168" s="73"/>
      <c r="G168" s="73"/>
      <c r="H168" s="73"/>
      <c r="I168" s="73"/>
      <c r="J168" s="73"/>
      <c r="K168" s="73"/>
      <c r="L168" s="73"/>
      <c r="M168" s="73"/>
      <c r="N168" s="73"/>
      <c r="O168" s="73"/>
      <c r="P168" s="73"/>
      <c r="Q168" s="73"/>
      <c r="R168" s="73"/>
      <c r="S168" s="73"/>
    </row>
    <row r="169" spans="1:19" ht="12.75">
      <c r="A169" s="73"/>
      <c r="B169" s="73"/>
      <c r="C169" s="73"/>
      <c r="D169" s="73"/>
      <c r="E169" s="73"/>
      <c r="F169" s="73"/>
      <c r="G169" s="73"/>
      <c r="H169" s="73"/>
      <c r="I169" s="73"/>
      <c r="J169" s="73"/>
      <c r="K169" s="73"/>
      <c r="L169" s="73"/>
      <c r="M169" s="73"/>
      <c r="N169" s="73"/>
      <c r="O169" s="73"/>
      <c r="P169" s="73"/>
      <c r="Q169" s="73"/>
      <c r="R169" s="73"/>
      <c r="S169" s="73"/>
    </row>
    <row r="170" spans="1:19" ht="12.75">
      <c r="A170" s="73"/>
      <c r="B170" s="73"/>
      <c r="C170" s="73"/>
      <c r="D170" s="73"/>
      <c r="E170" s="73"/>
      <c r="F170" s="73"/>
      <c r="G170" s="73"/>
      <c r="H170" s="73"/>
      <c r="I170" s="73"/>
      <c r="J170" s="73"/>
      <c r="K170" s="73"/>
      <c r="L170" s="73"/>
      <c r="M170" s="73"/>
      <c r="N170" s="73"/>
      <c r="O170" s="73"/>
      <c r="P170" s="73"/>
      <c r="Q170" s="73"/>
      <c r="R170" s="73"/>
      <c r="S170" s="73"/>
    </row>
    <row r="171" spans="1:19" ht="12.75">
      <c r="A171" s="73"/>
      <c r="B171" s="73"/>
      <c r="C171" s="73"/>
      <c r="D171" s="73"/>
      <c r="E171" s="73"/>
      <c r="F171" s="73"/>
      <c r="G171" s="73"/>
      <c r="H171" s="73"/>
      <c r="I171" s="73"/>
      <c r="J171" s="73"/>
      <c r="K171" s="73"/>
      <c r="L171" s="73"/>
      <c r="M171" s="73"/>
      <c r="N171" s="73"/>
      <c r="O171" s="73"/>
      <c r="P171" s="73"/>
      <c r="Q171" s="73"/>
      <c r="R171" s="73"/>
      <c r="S171" s="73"/>
    </row>
    <row r="172" spans="1:19" ht="12.75">
      <c r="A172" s="73"/>
      <c r="B172" s="73"/>
      <c r="C172" s="73"/>
      <c r="D172" s="73"/>
      <c r="E172" s="73"/>
      <c r="F172" s="73"/>
      <c r="G172" s="73"/>
      <c r="H172" s="73"/>
      <c r="I172" s="73"/>
      <c r="J172" s="73"/>
      <c r="K172" s="73"/>
      <c r="L172" s="73"/>
      <c r="M172" s="73"/>
      <c r="N172" s="73"/>
      <c r="O172" s="73"/>
      <c r="P172" s="73"/>
      <c r="Q172" s="73"/>
      <c r="R172" s="73"/>
      <c r="S172" s="73"/>
    </row>
    <row r="173" spans="1:19" ht="12.75">
      <c r="A173" s="73"/>
      <c r="B173" s="73"/>
      <c r="C173" s="73"/>
      <c r="D173" s="73"/>
      <c r="E173" s="73"/>
      <c r="F173" s="73"/>
      <c r="G173" s="73"/>
      <c r="H173" s="73"/>
      <c r="I173" s="73"/>
      <c r="J173" s="73"/>
      <c r="K173" s="73"/>
      <c r="L173" s="73"/>
      <c r="M173" s="73"/>
      <c r="N173" s="73"/>
      <c r="O173" s="73"/>
      <c r="P173" s="73"/>
      <c r="Q173" s="73"/>
      <c r="R173" s="73"/>
      <c r="S173" s="73"/>
    </row>
    <row r="174" spans="1:19" ht="12.75">
      <c r="A174" s="73"/>
      <c r="B174" s="73"/>
      <c r="C174" s="73"/>
      <c r="D174" s="73"/>
      <c r="E174" s="73"/>
      <c r="F174" s="73"/>
      <c r="G174" s="73"/>
      <c r="H174" s="73"/>
      <c r="I174" s="73"/>
      <c r="J174" s="73"/>
      <c r="K174" s="73"/>
      <c r="L174" s="73"/>
      <c r="M174" s="73"/>
      <c r="N174" s="73"/>
      <c r="O174" s="73"/>
      <c r="P174" s="73"/>
      <c r="Q174" s="73"/>
      <c r="R174" s="73"/>
      <c r="S174" s="73"/>
    </row>
    <row r="175" spans="1:19" ht="12.75">
      <c r="A175" s="73"/>
      <c r="B175" s="73"/>
      <c r="C175" s="73"/>
      <c r="D175" s="73"/>
      <c r="E175" s="73"/>
      <c r="F175" s="73"/>
      <c r="G175" s="73"/>
      <c r="H175" s="73"/>
      <c r="I175" s="73"/>
      <c r="J175" s="73"/>
      <c r="K175" s="73"/>
      <c r="L175" s="73"/>
      <c r="M175" s="73"/>
      <c r="N175" s="73"/>
      <c r="O175" s="73"/>
      <c r="P175" s="73"/>
      <c r="Q175" s="73"/>
      <c r="R175" s="73"/>
      <c r="S175" s="73"/>
    </row>
    <row r="176" spans="1:19" ht="12.75">
      <c r="A176" s="73"/>
      <c r="B176" s="73"/>
      <c r="C176" s="73"/>
      <c r="D176" s="73"/>
      <c r="E176" s="73"/>
      <c r="F176" s="73"/>
      <c r="G176" s="73"/>
      <c r="H176" s="73"/>
      <c r="I176" s="73"/>
      <c r="J176" s="73"/>
      <c r="K176" s="73"/>
      <c r="L176" s="73"/>
      <c r="M176" s="73"/>
      <c r="N176" s="73"/>
      <c r="O176" s="73"/>
      <c r="P176" s="73"/>
      <c r="Q176" s="73"/>
      <c r="R176" s="73"/>
      <c r="S176" s="73"/>
    </row>
    <row r="177" spans="1:19" ht="12.75">
      <c r="A177" s="73"/>
      <c r="B177" s="73"/>
      <c r="C177" s="73"/>
      <c r="D177" s="73"/>
      <c r="E177" s="73"/>
      <c r="F177" s="73"/>
      <c r="G177" s="73"/>
      <c r="H177" s="73"/>
      <c r="I177" s="73"/>
      <c r="J177" s="73"/>
      <c r="K177" s="73"/>
      <c r="L177" s="73"/>
      <c r="M177" s="73"/>
      <c r="N177" s="73"/>
      <c r="O177" s="73"/>
      <c r="P177" s="73"/>
      <c r="Q177" s="73"/>
      <c r="R177" s="73"/>
      <c r="S177" s="73"/>
    </row>
    <row r="178" spans="1:19" ht="12.75">
      <c r="A178" s="73"/>
      <c r="B178" s="73"/>
      <c r="C178" s="73"/>
      <c r="D178" s="73"/>
      <c r="E178" s="73"/>
      <c r="F178" s="73"/>
      <c r="G178" s="73"/>
      <c r="H178" s="73"/>
      <c r="I178" s="73"/>
      <c r="J178" s="73"/>
      <c r="K178" s="73"/>
      <c r="L178" s="73"/>
      <c r="M178" s="73"/>
      <c r="N178" s="73"/>
      <c r="O178" s="73"/>
      <c r="P178" s="73"/>
      <c r="Q178" s="73"/>
      <c r="R178" s="73"/>
      <c r="S178" s="73"/>
    </row>
    <row r="179" spans="1:19" ht="12.75">
      <c r="A179" s="73"/>
      <c r="B179" s="73"/>
      <c r="C179" s="73"/>
      <c r="D179" s="73"/>
      <c r="E179" s="73"/>
      <c r="F179" s="73"/>
      <c r="G179" s="73"/>
      <c r="H179" s="73"/>
      <c r="I179" s="73"/>
      <c r="J179" s="73"/>
      <c r="K179" s="73"/>
      <c r="L179" s="73"/>
      <c r="M179" s="73"/>
      <c r="N179" s="73"/>
      <c r="O179" s="73"/>
      <c r="P179" s="73"/>
      <c r="Q179" s="73"/>
      <c r="R179" s="73"/>
      <c r="S179" s="73"/>
    </row>
    <row r="180" spans="1:19" ht="12.75">
      <c r="A180" s="73"/>
      <c r="B180" s="73"/>
      <c r="C180" s="73"/>
      <c r="D180" s="73"/>
      <c r="E180" s="73"/>
      <c r="F180" s="73"/>
      <c r="G180" s="73"/>
      <c r="H180" s="73"/>
      <c r="I180" s="73"/>
      <c r="J180" s="73"/>
      <c r="K180" s="73"/>
      <c r="L180" s="73"/>
      <c r="M180" s="73"/>
      <c r="N180" s="73"/>
      <c r="O180" s="73"/>
      <c r="P180" s="73"/>
      <c r="Q180" s="73"/>
      <c r="R180" s="73"/>
      <c r="S180" s="73"/>
    </row>
    <row r="181" spans="1:19" ht="12.75">
      <c r="A181" s="73"/>
      <c r="B181" s="73"/>
      <c r="C181" s="73"/>
      <c r="D181" s="73"/>
      <c r="E181" s="73"/>
      <c r="F181" s="73"/>
      <c r="G181" s="73"/>
      <c r="H181" s="73"/>
      <c r="I181" s="73"/>
      <c r="J181" s="73"/>
      <c r="K181" s="73"/>
      <c r="L181" s="73"/>
      <c r="M181" s="73"/>
      <c r="N181" s="73"/>
      <c r="O181" s="73"/>
      <c r="P181" s="73"/>
      <c r="Q181" s="73"/>
      <c r="R181" s="73"/>
      <c r="S181" s="73"/>
    </row>
    <row r="182" spans="1:19" ht="12.75">
      <c r="A182" s="73"/>
      <c r="B182" s="73"/>
      <c r="C182" s="73"/>
      <c r="D182" s="73"/>
      <c r="E182" s="73"/>
      <c r="F182" s="73"/>
      <c r="G182" s="73"/>
      <c r="H182" s="73"/>
      <c r="I182" s="73"/>
      <c r="J182" s="73"/>
      <c r="K182" s="73"/>
      <c r="L182" s="73"/>
      <c r="M182" s="73"/>
      <c r="N182" s="73"/>
      <c r="O182" s="73"/>
      <c r="P182" s="73"/>
      <c r="Q182" s="73"/>
      <c r="R182" s="73"/>
      <c r="S182" s="73"/>
    </row>
    <row r="183" spans="1:19" ht="12.75">
      <c r="A183" s="73"/>
      <c r="B183" s="73"/>
      <c r="C183" s="73"/>
      <c r="D183" s="73"/>
      <c r="E183" s="73"/>
      <c r="F183" s="73"/>
      <c r="G183" s="73"/>
      <c r="H183" s="73"/>
      <c r="I183" s="73"/>
      <c r="J183" s="73"/>
      <c r="K183" s="73"/>
      <c r="L183" s="73"/>
      <c r="M183" s="73"/>
      <c r="N183" s="73"/>
      <c r="O183" s="73"/>
      <c r="P183" s="73"/>
      <c r="Q183" s="73"/>
      <c r="R183" s="73"/>
      <c r="S183" s="73"/>
    </row>
    <row r="184" spans="1:19" ht="12.75">
      <c r="A184" s="73"/>
      <c r="B184" s="73"/>
      <c r="C184" s="73"/>
      <c r="D184" s="73"/>
      <c r="E184" s="73"/>
      <c r="F184" s="73"/>
      <c r="G184" s="73"/>
      <c r="H184" s="73"/>
      <c r="I184" s="73"/>
      <c r="J184" s="73"/>
      <c r="K184" s="73"/>
      <c r="L184" s="73"/>
      <c r="M184" s="73"/>
      <c r="N184" s="73"/>
      <c r="O184" s="73"/>
      <c r="P184" s="73"/>
      <c r="Q184" s="73"/>
      <c r="R184" s="73"/>
      <c r="S184" s="73"/>
    </row>
    <row r="185" spans="1:19" ht="12.75">
      <c r="A185" s="73"/>
      <c r="B185" s="73"/>
      <c r="C185" s="73"/>
      <c r="D185" s="73"/>
      <c r="E185" s="73"/>
      <c r="F185" s="73"/>
      <c r="G185" s="73"/>
      <c r="H185" s="73"/>
      <c r="I185" s="73"/>
      <c r="J185" s="73"/>
      <c r="K185" s="73"/>
      <c r="L185" s="73"/>
      <c r="M185" s="73"/>
      <c r="N185" s="73"/>
      <c r="O185" s="73"/>
      <c r="P185" s="73"/>
      <c r="Q185" s="73"/>
      <c r="R185" s="73"/>
      <c r="S185" s="73"/>
    </row>
    <row r="186" spans="1:19" ht="12.75">
      <c r="A186" s="73"/>
      <c r="B186" s="73"/>
      <c r="C186" s="73"/>
      <c r="D186" s="73"/>
      <c r="E186" s="73"/>
      <c r="F186" s="73"/>
      <c r="G186" s="73"/>
      <c r="H186" s="73"/>
      <c r="I186" s="73"/>
      <c r="J186" s="73"/>
      <c r="K186" s="73"/>
      <c r="L186" s="73"/>
      <c r="M186" s="73"/>
      <c r="N186" s="73"/>
      <c r="O186" s="73"/>
      <c r="P186" s="73"/>
      <c r="Q186" s="73"/>
      <c r="R186" s="73"/>
      <c r="S186" s="73"/>
    </row>
    <row r="187" spans="1:19" ht="12.75">
      <c r="A187" s="73"/>
      <c r="B187" s="73"/>
      <c r="C187" s="73"/>
      <c r="D187" s="73"/>
      <c r="E187" s="73"/>
      <c r="F187" s="73"/>
      <c r="G187" s="73"/>
      <c r="H187" s="73"/>
      <c r="I187" s="73"/>
      <c r="J187" s="73"/>
      <c r="K187" s="73"/>
      <c r="L187" s="73"/>
      <c r="M187" s="73"/>
      <c r="N187" s="73"/>
      <c r="O187" s="73"/>
      <c r="P187" s="73"/>
      <c r="Q187" s="73"/>
      <c r="R187" s="73"/>
      <c r="S187" s="73"/>
    </row>
    <row r="188" spans="1:19" ht="12.75">
      <c r="A188" s="73"/>
      <c r="B188" s="73"/>
      <c r="C188" s="73"/>
      <c r="D188" s="73"/>
      <c r="E188" s="73"/>
      <c r="F188" s="73"/>
      <c r="G188" s="73"/>
      <c r="H188" s="73"/>
      <c r="I188" s="73"/>
      <c r="J188" s="73"/>
      <c r="K188" s="73"/>
      <c r="L188" s="73"/>
      <c r="M188" s="73"/>
      <c r="N188" s="73"/>
      <c r="O188" s="73"/>
      <c r="P188" s="73"/>
      <c r="Q188" s="73"/>
      <c r="R188" s="73"/>
      <c r="S188" s="73"/>
    </row>
    <row r="189" spans="1:19" ht="12.75">
      <c r="A189" s="73"/>
      <c r="B189" s="73"/>
      <c r="C189" s="73"/>
      <c r="D189" s="73"/>
      <c r="E189" s="73"/>
      <c r="F189" s="73"/>
      <c r="G189" s="73"/>
      <c r="H189" s="73"/>
      <c r="I189" s="73"/>
      <c r="J189" s="73"/>
      <c r="K189" s="73"/>
      <c r="L189" s="73"/>
      <c r="M189" s="73"/>
      <c r="N189" s="73"/>
      <c r="O189" s="73"/>
      <c r="P189" s="73"/>
      <c r="Q189" s="73"/>
      <c r="R189" s="73"/>
      <c r="S189" s="73"/>
    </row>
    <row r="190" spans="1:19" ht="12.75">
      <c r="A190" s="73"/>
      <c r="B190" s="73"/>
      <c r="C190" s="73"/>
      <c r="D190" s="73"/>
      <c r="E190" s="73"/>
      <c r="F190" s="73"/>
      <c r="G190" s="73"/>
      <c r="H190" s="73"/>
      <c r="I190" s="73"/>
      <c r="J190" s="73"/>
      <c r="K190" s="73"/>
      <c r="L190" s="73"/>
      <c r="M190" s="73"/>
      <c r="N190" s="73"/>
      <c r="O190" s="73"/>
      <c r="P190" s="73"/>
      <c r="Q190" s="73"/>
      <c r="R190" s="73"/>
      <c r="S190" s="73"/>
    </row>
    <row r="191" spans="1:19" ht="12.75">
      <c r="A191" s="73"/>
      <c r="B191" s="73"/>
      <c r="C191" s="73"/>
      <c r="D191" s="73"/>
      <c r="E191" s="73"/>
      <c r="F191" s="73"/>
      <c r="G191" s="73"/>
      <c r="H191" s="73"/>
      <c r="I191" s="73"/>
      <c r="J191" s="73"/>
      <c r="K191" s="73"/>
      <c r="L191" s="73"/>
      <c r="M191" s="73"/>
      <c r="N191" s="73"/>
      <c r="O191" s="73"/>
      <c r="P191" s="73"/>
      <c r="Q191" s="73"/>
      <c r="R191" s="73"/>
      <c r="S191" s="73"/>
    </row>
    <row r="192" spans="1:19" ht="12.75">
      <c r="A192" s="73"/>
      <c r="B192" s="73"/>
      <c r="C192" s="73"/>
      <c r="D192" s="73"/>
      <c r="E192" s="73"/>
      <c r="F192" s="73"/>
      <c r="G192" s="73"/>
      <c r="H192" s="73"/>
      <c r="I192" s="73"/>
      <c r="J192" s="73"/>
      <c r="K192" s="73"/>
      <c r="L192" s="73"/>
      <c r="M192" s="73"/>
      <c r="N192" s="73"/>
      <c r="O192" s="73"/>
      <c r="P192" s="73"/>
      <c r="Q192" s="73"/>
      <c r="R192" s="73"/>
      <c r="S192" s="73"/>
    </row>
    <row r="193" spans="1:19" ht="12.75">
      <c r="A193" s="73"/>
      <c r="B193" s="73"/>
      <c r="C193" s="73"/>
      <c r="D193" s="73"/>
      <c r="E193" s="73"/>
      <c r="F193" s="73"/>
      <c r="G193" s="73"/>
      <c r="H193" s="73"/>
      <c r="I193" s="73"/>
      <c r="J193" s="73"/>
      <c r="K193" s="73"/>
      <c r="L193" s="73"/>
      <c r="M193" s="73"/>
      <c r="N193" s="73"/>
      <c r="O193" s="73"/>
      <c r="P193" s="73"/>
      <c r="Q193" s="73"/>
      <c r="R193" s="73"/>
      <c r="S193" s="73"/>
    </row>
    <row r="194" spans="1:19" ht="12.75">
      <c r="A194" s="73"/>
      <c r="B194" s="73"/>
      <c r="C194" s="73"/>
      <c r="D194" s="73"/>
      <c r="E194" s="73"/>
      <c r="F194" s="73"/>
      <c r="G194" s="73"/>
      <c r="H194" s="73"/>
      <c r="I194" s="73"/>
      <c r="J194" s="73"/>
      <c r="K194" s="73"/>
      <c r="L194" s="73"/>
      <c r="M194" s="73"/>
      <c r="N194" s="73"/>
      <c r="O194" s="73"/>
      <c r="P194" s="73"/>
      <c r="Q194" s="73"/>
      <c r="R194" s="73"/>
      <c r="S194" s="73"/>
    </row>
    <row r="195" spans="1:19" ht="12.75">
      <c r="A195" s="73"/>
      <c r="B195" s="73"/>
      <c r="C195" s="73"/>
      <c r="D195" s="73"/>
      <c r="E195" s="73"/>
      <c r="F195" s="73"/>
      <c r="G195" s="73"/>
      <c r="H195" s="73"/>
      <c r="I195" s="73"/>
      <c r="J195" s="73"/>
      <c r="K195" s="73"/>
      <c r="L195" s="73"/>
      <c r="M195" s="73"/>
      <c r="N195" s="73"/>
      <c r="O195" s="73"/>
      <c r="P195" s="73"/>
      <c r="Q195" s="73"/>
      <c r="R195" s="73"/>
      <c r="S195" s="73"/>
    </row>
    <row r="196" spans="1:19" ht="12.75">
      <c r="A196" s="73"/>
      <c r="B196" s="73"/>
      <c r="C196" s="73"/>
      <c r="D196" s="73"/>
      <c r="E196" s="73"/>
      <c r="F196" s="73"/>
      <c r="G196" s="73"/>
      <c r="H196" s="73"/>
      <c r="I196" s="73"/>
      <c r="J196" s="73"/>
      <c r="K196" s="73"/>
      <c r="L196" s="73"/>
      <c r="M196" s="73"/>
      <c r="N196" s="73"/>
      <c r="O196" s="73"/>
      <c r="P196" s="73"/>
      <c r="Q196" s="73"/>
      <c r="R196" s="73"/>
      <c r="S196" s="73"/>
    </row>
    <row r="197" spans="1:19" ht="12.75">
      <c r="A197" s="73"/>
      <c r="B197" s="73"/>
      <c r="C197" s="73"/>
      <c r="D197" s="73"/>
      <c r="E197" s="73"/>
      <c r="F197" s="73"/>
      <c r="G197" s="73"/>
      <c r="H197" s="73"/>
      <c r="I197" s="73"/>
      <c r="J197" s="73"/>
      <c r="K197" s="73"/>
      <c r="L197" s="73"/>
      <c r="M197" s="73"/>
      <c r="N197" s="73"/>
      <c r="O197" s="73"/>
      <c r="P197" s="73"/>
      <c r="Q197" s="73"/>
      <c r="R197" s="73"/>
      <c r="S197" s="73"/>
    </row>
    <row r="198" spans="1:19" ht="12.75">
      <c r="A198" s="73"/>
      <c r="B198" s="73"/>
      <c r="C198" s="73"/>
      <c r="D198" s="73"/>
      <c r="E198" s="73"/>
      <c r="F198" s="73"/>
      <c r="G198" s="73"/>
      <c r="H198" s="73"/>
      <c r="I198" s="73"/>
      <c r="J198" s="73"/>
      <c r="K198" s="73"/>
      <c r="L198" s="73"/>
      <c r="M198" s="73"/>
      <c r="N198" s="73"/>
      <c r="O198" s="73"/>
      <c r="P198" s="73"/>
      <c r="Q198" s="73"/>
      <c r="R198" s="73"/>
      <c r="S198" s="73"/>
    </row>
    <row r="199" spans="1:19" ht="12.75">
      <c r="A199" s="73"/>
      <c r="B199" s="73"/>
      <c r="C199" s="73"/>
      <c r="D199" s="73"/>
      <c r="E199" s="73"/>
      <c r="F199" s="73"/>
      <c r="G199" s="73"/>
      <c r="H199" s="73"/>
      <c r="I199" s="73"/>
      <c r="J199" s="73"/>
      <c r="K199" s="73"/>
      <c r="L199" s="73"/>
      <c r="M199" s="73"/>
      <c r="N199" s="73"/>
      <c r="O199" s="73"/>
      <c r="P199" s="73"/>
      <c r="Q199" s="73"/>
      <c r="R199" s="73"/>
      <c r="S199" s="73"/>
    </row>
    <row r="200" spans="1:19" ht="12.75">
      <c r="A200" s="73"/>
      <c r="B200" s="73"/>
      <c r="C200" s="73"/>
      <c r="D200" s="73"/>
      <c r="E200" s="73"/>
      <c r="F200" s="73"/>
      <c r="G200" s="73"/>
      <c r="H200" s="73"/>
      <c r="I200" s="73"/>
      <c r="J200" s="73"/>
      <c r="K200" s="73"/>
      <c r="L200" s="73"/>
      <c r="M200" s="73"/>
      <c r="N200" s="73"/>
      <c r="O200" s="73"/>
      <c r="P200" s="73"/>
      <c r="Q200" s="73"/>
      <c r="R200" s="73"/>
      <c r="S200" s="73"/>
    </row>
    <row r="201" spans="1:19" ht="12.75">
      <c r="A201" s="73"/>
      <c r="B201" s="73"/>
      <c r="C201" s="73"/>
      <c r="D201" s="73"/>
      <c r="E201" s="73"/>
      <c r="F201" s="73"/>
      <c r="G201" s="73"/>
      <c r="H201" s="73"/>
      <c r="I201" s="73"/>
      <c r="J201" s="73"/>
      <c r="K201" s="73"/>
      <c r="L201" s="73"/>
      <c r="M201" s="73"/>
      <c r="N201" s="73"/>
      <c r="O201" s="73"/>
      <c r="P201" s="73"/>
      <c r="Q201" s="73"/>
      <c r="R201" s="73"/>
      <c r="S201" s="73"/>
    </row>
    <row r="202" spans="1:19" ht="12.75">
      <c r="A202" s="73"/>
      <c r="B202" s="73"/>
      <c r="C202" s="73"/>
      <c r="D202" s="73"/>
      <c r="E202" s="73"/>
      <c r="F202" s="73"/>
      <c r="G202" s="73"/>
      <c r="H202" s="73"/>
      <c r="I202" s="73"/>
      <c r="J202" s="73"/>
      <c r="K202" s="73"/>
      <c r="L202" s="73"/>
      <c r="M202" s="73"/>
      <c r="N202" s="73"/>
      <c r="O202" s="73"/>
      <c r="P202" s="73"/>
      <c r="Q202" s="73"/>
      <c r="R202" s="73"/>
      <c r="S202" s="73"/>
    </row>
    <row r="203" spans="1:19" ht="12.75">
      <c r="A203" s="73"/>
      <c r="B203" s="73"/>
      <c r="C203" s="73"/>
      <c r="D203" s="73"/>
      <c r="E203" s="73"/>
      <c r="F203" s="73"/>
      <c r="G203" s="73"/>
      <c r="H203" s="73"/>
      <c r="I203" s="73"/>
      <c r="J203" s="73"/>
      <c r="K203" s="73"/>
      <c r="L203" s="73"/>
      <c r="M203" s="73"/>
      <c r="N203" s="73"/>
      <c r="O203" s="73"/>
      <c r="P203" s="73"/>
      <c r="Q203" s="73"/>
      <c r="R203" s="73"/>
      <c r="S203" s="73"/>
    </row>
    <row r="204" spans="1:19" ht="12.75">
      <c r="A204" s="73"/>
      <c r="B204" s="73"/>
      <c r="C204" s="73"/>
      <c r="D204" s="73"/>
      <c r="E204" s="73"/>
      <c r="F204" s="73"/>
      <c r="G204" s="73"/>
      <c r="H204" s="73"/>
      <c r="I204" s="73"/>
      <c r="J204" s="73"/>
      <c r="K204" s="73"/>
      <c r="L204" s="73"/>
      <c r="M204" s="73"/>
      <c r="N204" s="73"/>
      <c r="O204" s="73"/>
      <c r="P204" s="73"/>
      <c r="Q204" s="73"/>
      <c r="R204" s="73"/>
      <c r="S204" s="73"/>
    </row>
    <row r="205" spans="1:19" ht="12.75">
      <c r="A205" s="73"/>
      <c r="B205" s="73"/>
      <c r="C205" s="73"/>
      <c r="D205" s="73"/>
      <c r="E205" s="73"/>
      <c r="F205" s="73"/>
      <c r="G205" s="73"/>
      <c r="H205" s="73"/>
      <c r="I205" s="73"/>
      <c r="J205" s="73"/>
      <c r="K205" s="73"/>
      <c r="L205" s="73"/>
      <c r="M205" s="73"/>
      <c r="N205" s="73"/>
      <c r="O205" s="73"/>
      <c r="P205" s="73"/>
      <c r="Q205" s="73"/>
      <c r="R205" s="73"/>
      <c r="S205" s="73"/>
    </row>
    <row r="206" spans="1:19" ht="12.75">
      <c r="A206" s="73"/>
      <c r="B206" s="73"/>
      <c r="C206" s="73"/>
      <c r="D206" s="73"/>
      <c r="E206" s="73"/>
      <c r="F206" s="73"/>
      <c r="G206" s="73"/>
      <c r="H206" s="73"/>
      <c r="I206" s="73"/>
      <c r="J206" s="73"/>
      <c r="K206" s="73"/>
      <c r="L206" s="73"/>
      <c r="M206" s="73"/>
      <c r="N206" s="73"/>
      <c r="O206" s="73"/>
      <c r="P206" s="73"/>
      <c r="Q206" s="73"/>
      <c r="R206" s="73"/>
      <c r="S206" s="73"/>
    </row>
    <row r="207" spans="1:19" ht="12.75">
      <c r="A207" s="73"/>
      <c r="B207" s="73"/>
      <c r="C207" s="73"/>
      <c r="D207" s="73"/>
      <c r="E207" s="73"/>
      <c r="F207" s="73"/>
      <c r="G207" s="73"/>
      <c r="H207" s="73"/>
      <c r="I207" s="73"/>
      <c r="J207" s="73"/>
      <c r="K207" s="73"/>
      <c r="L207" s="73"/>
      <c r="M207" s="73"/>
      <c r="N207" s="73"/>
      <c r="O207" s="73"/>
      <c r="P207" s="73"/>
      <c r="Q207" s="73"/>
      <c r="R207" s="73"/>
      <c r="S207" s="73"/>
    </row>
    <row r="208" spans="1:19" ht="12.75">
      <c r="A208" s="73"/>
      <c r="B208" s="73"/>
      <c r="C208" s="73"/>
      <c r="D208" s="73"/>
      <c r="E208" s="73"/>
      <c r="F208" s="73"/>
      <c r="G208" s="73"/>
      <c r="H208" s="73"/>
      <c r="I208" s="73"/>
      <c r="J208" s="73"/>
      <c r="K208" s="73"/>
      <c r="L208" s="73"/>
      <c r="M208" s="73"/>
      <c r="N208" s="73"/>
      <c r="O208" s="73"/>
      <c r="P208" s="73"/>
      <c r="Q208" s="73"/>
      <c r="R208" s="73"/>
      <c r="S208" s="73"/>
    </row>
    <row r="209" spans="1:19" ht="12.75">
      <c r="A209" s="73"/>
      <c r="B209" s="73"/>
      <c r="C209" s="73"/>
      <c r="D209" s="73"/>
      <c r="E209" s="73"/>
      <c r="F209" s="73"/>
      <c r="G209" s="73"/>
      <c r="H209" s="73"/>
      <c r="I209" s="73"/>
      <c r="J209" s="73"/>
      <c r="K209" s="73"/>
      <c r="L209" s="73"/>
      <c r="M209" s="73"/>
      <c r="N209" s="73"/>
      <c r="O209" s="73"/>
      <c r="P209" s="73"/>
      <c r="Q209" s="73"/>
      <c r="R209" s="73"/>
      <c r="S209" s="73"/>
    </row>
    <row r="210" spans="1:19" ht="12.75">
      <c r="A210" s="73"/>
      <c r="B210" s="73"/>
      <c r="C210" s="73"/>
      <c r="D210" s="73"/>
      <c r="E210" s="73"/>
      <c r="F210" s="73"/>
      <c r="G210" s="73"/>
      <c r="H210" s="73"/>
      <c r="I210" s="73"/>
      <c r="J210" s="73"/>
      <c r="K210" s="73"/>
      <c r="L210" s="73"/>
      <c r="M210" s="73"/>
      <c r="N210" s="73"/>
      <c r="O210" s="73"/>
      <c r="P210" s="73"/>
      <c r="Q210" s="73"/>
      <c r="R210" s="73"/>
      <c r="S210" s="73"/>
    </row>
    <row r="211" spans="1:19" ht="12.75">
      <c r="A211" s="73"/>
      <c r="B211" s="73"/>
      <c r="C211" s="73"/>
      <c r="D211" s="73"/>
      <c r="E211" s="73"/>
      <c r="F211" s="73"/>
      <c r="G211" s="73"/>
      <c r="H211" s="73"/>
      <c r="I211" s="73"/>
      <c r="J211" s="73"/>
      <c r="K211" s="73"/>
      <c r="L211" s="73"/>
      <c r="M211" s="73"/>
      <c r="N211" s="73"/>
      <c r="O211" s="73"/>
      <c r="P211" s="73"/>
      <c r="Q211" s="73"/>
      <c r="R211" s="73"/>
      <c r="S211" s="73"/>
    </row>
    <row r="212" spans="1:19" ht="12.75">
      <c r="A212" s="73"/>
      <c r="B212" s="73"/>
      <c r="C212" s="73"/>
      <c r="D212" s="73"/>
      <c r="E212" s="73"/>
      <c r="F212" s="73"/>
      <c r="G212" s="73"/>
      <c r="H212" s="73"/>
      <c r="I212" s="73"/>
      <c r="J212" s="73"/>
      <c r="K212" s="73"/>
      <c r="L212" s="73"/>
      <c r="M212" s="73"/>
      <c r="N212" s="73"/>
      <c r="O212" s="73"/>
      <c r="P212" s="73"/>
      <c r="Q212" s="73"/>
      <c r="R212" s="73"/>
      <c r="S212" s="73"/>
    </row>
    <row r="213" spans="1:19" ht="12.75">
      <c r="A213" s="73"/>
      <c r="B213" s="73"/>
      <c r="C213" s="73"/>
      <c r="D213" s="73"/>
      <c r="E213" s="73"/>
      <c r="F213" s="73"/>
      <c r="G213" s="73"/>
      <c r="H213" s="73"/>
      <c r="I213" s="73"/>
      <c r="J213" s="73"/>
      <c r="K213" s="73"/>
      <c r="L213" s="73"/>
      <c r="M213" s="73"/>
      <c r="N213" s="73"/>
      <c r="O213" s="73"/>
      <c r="P213" s="73"/>
      <c r="Q213" s="73"/>
      <c r="R213" s="73"/>
      <c r="S213" s="73"/>
    </row>
    <row r="214" spans="1:19" ht="12.75">
      <c r="A214" s="73"/>
      <c r="B214" s="73"/>
      <c r="C214" s="73"/>
      <c r="D214" s="73"/>
      <c r="E214" s="73"/>
      <c r="F214" s="73"/>
      <c r="G214" s="73"/>
      <c r="H214" s="73"/>
      <c r="I214" s="73"/>
      <c r="J214" s="73"/>
      <c r="K214" s="73"/>
      <c r="L214" s="73"/>
      <c r="M214" s="73"/>
      <c r="N214" s="73"/>
      <c r="O214" s="73"/>
      <c r="P214" s="73"/>
      <c r="Q214" s="73"/>
      <c r="R214" s="73"/>
      <c r="S214" s="73"/>
    </row>
    <row r="215" spans="1:19" ht="12.75">
      <c r="A215" s="73"/>
      <c r="B215" s="73"/>
      <c r="C215" s="73"/>
      <c r="D215" s="73"/>
      <c r="E215" s="73"/>
      <c r="F215" s="73"/>
      <c r="G215" s="73"/>
      <c r="H215" s="73"/>
      <c r="I215" s="73"/>
      <c r="J215" s="73"/>
      <c r="K215" s="73"/>
      <c r="L215" s="73"/>
      <c r="M215" s="73"/>
      <c r="N215" s="73"/>
      <c r="O215" s="73"/>
      <c r="P215" s="73"/>
      <c r="Q215" s="73"/>
      <c r="R215" s="73"/>
      <c r="S215" s="73"/>
    </row>
    <row r="216" spans="1:19" ht="12.75">
      <c r="A216" s="73"/>
      <c r="B216" s="73"/>
      <c r="C216" s="73"/>
      <c r="D216" s="73"/>
      <c r="E216" s="73"/>
      <c r="F216" s="73"/>
      <c r="G216" s="73"/>
      <c r="H216" s="73"/>
      <c r="I216" s="73"/>
      <c r="J216" s="73"/>
      <c r="K216" s="73"/>
      <c r="L216" s="73"/>
      <c r="M216" s="73"/>
      <c r="N216" s="73"/>
      <c r="O216" s="73"/>
      <c r="P216" s="73"/>
      <c r="Q216" s="73"/>
      <c r="R216" s="73"/>
      <c r="S216" s="73"/>
    </row>
    <row r="217" spans="1:19" ht="12.75">
      <c r="A217" s="73"/>
      <c r="B217" s="73"/>
      <c r="C217" s="73"/>
      <c r="D217" s="73"/>
      <c r="E217" s="73"/>
      <c r="F217" s="73"/>
      <c r="G217" s="73"/>
      <c r="H217" s="73"/>
      <c r="I217" s="73"/>
      <c r="J217" s="73"/>
      <c r="K217" s="73"/>
      <c r="L217" s="73"/>
      <c r="M217" s="73"/>
      <c r="N217" s="73"/>
      <c r="O217" s="73"/>
      <c r="P217" s="73"/>
      <c r="Q217" s="73"/>
      <c r="R217" s="73"/>
      <c r="S217" s="73"/>
    </row>
    <row r="218" spans="1:19" ht="12.75">
      <c r="A218" s="73"/>
      <c r="B218" s="73"/>
      <c r="C218" s="73"/>
      <c r="D218" s="73"/>
      <c r="E218" s="73"/>
      <c r="F218" s="73"/>
      <c r="G218" s="73"/>
      <c r="H218" s="73"/>
      <c r="I218" s="73"/>
      <c r="J218" s="73"/>
      <c r="K218" s="73"/>
      <c r="L218" s="73"/>
      <c r="M218" s="73"/>
      <c r="N218" s="73"/>
      <c r="O218" s="73"/>
      <c r="P218" s="73"/>
      <c r="Q218" s="73"/>
      <c r="R218" s="73"/>
      <c r="S218" s="73"/>
    </row>
    <row r="219" spans="1:19" ht="12.75">
      <c r="A219" s="73"/>
      <c r="B219" s="73"/>
      <c r="C219" s="73"/>
      <c r="D219" s="73"/>
      <c r="E219" s="73"/>
      <c r="F219" s="73"/>
      <c r="G219" s="73"/>
      <c r="H219" s="73"/>
      <c r="I219" s="73"/>
      <c r="J219" s="73"/>
      <c r="K219" s="73"/>
      <c r="L219" s="73"/>
      <c r="M219" s="73"/>
      <c r="N219" s="73"/>
      <c r="O219" s="73"/>
      <c r="P219" s="73"/>
      <c r="Q219" s="73"/>
      <c r="R219" s="73"/>
      <c r="S219" s="73"/>
    </row>
    <row r="220" spans="1:19" ht="12.75">
      <c r="A220" s="73"/>
      <c r="B220" s="73"/>
      <c r="C220" s="73"/>
      <c r="D220" s="73"/>
      <c r="E220" s="73"/>
      <c r="F220" s="73"/>
      <c r="G220" s="73"/>
      <c r="H220" s="73"/>
      <c r="I220" s="73"/>
      <c r="J220" s="73"/>
      <c r="K220" s="73"/>
      <c r="L220" s="73"/>
      <c r="M220" s="73"/>
      <c r="N220" s="73"/>
      <c r="O220" s="73"/>
      <c r="P220" s="73"/>
      <c r="Q220" s="73"/>
      <c r="R220" s="73"/>
      <c r="S220" s="73"/>
    </row>
    <row r="221" spans="1:19" ht="12.75">
      <c r="A221" s="73"/>
      <c r="B221" s="73"/>
      <c r="C221" s="73"/>
      <c r="D221" s="73"/>
      <c r="E221" s="73"/>
      <c r="F221" s="73"/>
      <c r="G221" s="73"/>
      <c r="H221" s="73"/>
      <c r="I221" s="73"/>
      <c r="J221" s="73"/>
      <c r="K221" s="73"/>
      <c r="L221" s="73"/>
      <c r="M221" s="73"/>
      <c r="N221" s="73"/>
      <c r="O221" s="73"/>
      <c r="P221" s="73"/>
      <c r="Q221" s="73"/>
      <c r="R221" s="73"/>
      <c r="S221" s="73"/>
    </row>
    <row r="222" spans="1:19" ht="12.75">
      <c r="A222" s="73"/>
      <c r="B222" s="73"/>
      <c r="C222" s="73"/>
      <c r="D222" s="73"/>
      <c r="E222" s="73"/>
      <c r="F222" s="73"/>
      <c r="G222" s="73"/>
      <c r="H222" s="73"/>
      <c r="I222" s="73"/>
      <c r="J222" s="73"/>
      <c r="K222" s="73"/>
      <c r="L222" s="73"/>
      <c r="M222" s="73"/>
      <c r="N222" s="73"/>
      <c r="O222" s="73"/>
      <c r="P222" s="73"/>
      <c r="Q222" s="73"/>
      <c r="R222" s="73"/>
      <c r="S222" s="73"/>
    </row>
    <row r="223" spans="1:19" ht="12.75">
      <c r="A223" s="73"/>
      <c r="B223" s="73"/>
      <c r="C223" s="73"/>
      <c r="D223" s="73"/>
      <c r="E223" s="73"/>
      <c r="F223" s="73"/>
      <c r="G223" s="73"/>
      <c r="H223" s="73"/>
      <c r="I223" s="73"/>
      <c r="J223" s="73"/>
      <c r="K223" s="73"/>
      <c r="L223" s="73"/>
      <c r="M223" s="73"/>
      <c r="N223" s="73"/>
      <c r="O223" s="73"/>
      <c r="P223" s="73"/>
      <c r="Q223" s="73"/>
      <c r="R223" s="73"/>
      <c r="S223" s="73"/>
    </row>
    <row r="224" spans="1:19" ht="12.75">
      <c r="A224" s="73"/>
      <c r="B224" s="73"/>
      <c r="C224" s="73"/>
      <c r="D224" s="73"/>
      <c r="E224" s="73"/>
      <c r="F224" s="73"/>
      <c r="G224" s="73"/>
      <c r="H224" s="73"/>
      <c r="I224" s="73"/>
      <c r="J224" s="73"/>
      <c r="K224" s="73"/>
      <c r="L224" s="73"/>
      <c r="M224" s="73"/>
      <c r="N224" s="73"/>
      <c r="O224" s="73"/>
      <c r="P224" s="73"/>
      <c r="Q224" s="73"/>
      <c r="R224" s="73"/>
      <c r="S224" s="73"/>
    </row>
    <row r="225" spans="1:19" ht="12.75">
      <c r="A225" s="73"/>
      <c r="B225" s="73"/>
      <c r="C225" s="73"/>
      <c r="D225" s="73"/>
      <c r="E225" s="73"/>
      <c r="F225" s="73"/>
      <c r="G225" s="73"/>
      <c r="H225" s="73"/>
      <c r="I225" s="73"/>
      <c r="J225" s="73"/>
      <c r="K225" s="73"/>
      <c r="L225" s="73"/>
      <c r="M225" s="73"/>
      <c r="N225" s="73"/>
      <c r="O225" s="73"/>
      <c r="P225" s="73"/>
      <c r="Q225" s="73"/>
      <c r="R225" s="73"/>
      <c r="S225" s="73"/>
    </row>
    <row r="226" spans="1:19" ht="12.75">
      <c r="A226" s="73"/>
      <c r="B226" s="73"/>
      <c r="C226" s="73"/>
      <c r="D226" s="73"/>
      <c r="E226" s="73"/>
      <c r="F226" s="73"/>
      <c r="G226" s="73"/>
      <c r="H226" s="73"/>
      <c r="I226" s="73"/>
      <c r="J226" s="73"/>
      <c r="K226" s="73"/>
      <c r="L226" s="73"/>
      <c r="M226" s="73"/>
      <c r="N226" s="73"/>
      <c r="O226" s="73"/>
      <c r="P226" s="73"/>
      <c r="Q226" s="73"/>
      <c r="R226" s="73"/>
      <c r="S226" s="73"/>
    </row>
    <row r="227" spans="1:19" ht="12.75">
      <c r="A227" s="73"/>
      <c r="B227" s="73"/>
      <c r="C227" s="73"/>
      <c r="D227" s="73"/>
      <c r="E227" s="73"/>
      <c r="F227" s="73"/>
      <c r="G227" s="73"/>
      <c r="H227" s="73"/>
      <c r="I227" s="73"/>
      <c r="J227" s="73"/>
      <c r="K227" s="73"/>
      <c r="L227" s="73"/>
      <c r="M227" s="73"/>
      <c r="N227" s="73"/>
      <c r="O227" s="73"/>
      <c r="P227" s="73"/>
      <c r="Q227" s="73"/>
      <c r="R227" s="73"/>
      <c r="S227" s="73"/>
    </row>
    <row r="228" spans="1:19" ht="12.75">
      <c r="A228" s="73"/>
      <c r="B228" s="73"/>
      <c r="C228" s="73"/>
      <c r="D228" s="73"/>
      <c r="E228" s="73"/>
      <c r="F228" s="73"/>
      <c r="G228" s="73"/>
      <c r="H228" s="73"/>
      <c r="I228" s="73"/>
      <c r="J228" s="73"/>
      <c r="K228" s="73"/>
      <c r="L228" s="73"/>
      <c r="M228" s="73"/>
      <c r="N228" s="73"/>
      <c r="O228" s="73"/>
      <c r="P228" s="73"/>
      <c r="Q228" s="73"/>
      <c r="R228" s="73"/>
      <c r="S228" s="73"/>
    </row>
    <row r="229" spans="1:19" ht="12.75">
      <c r="A229" s="73"/>
      <c r="B229" s="73"/>
      <c r="C229" s="73"/>
      <c r="D229" s="73"/>
      <c r="E229" s="73"/>
      <c r="F229" s="73"/>
      <c r="G229" s="73"/>
      <c r="H229" s="73"/>
      <c r="I229" s="73"/>
      <c r="J229" s="73"/>
      <c r="K229" s="73"/>
      <c r="L229" s="73"/>
      <c r="M229" s="73"/>
      <c r="N229" s="73"/>
      <c r="O229" s="73"/>
      <c r="P229" s="73"/>
      <c r="Q229" s="73"/>
      <c r="R229" s="73"/>
      <c r="S229" s="73"/>
    </row>
    <row r="230" spans="1:19" ht="12.75">
      <c r="A230" s="73"/>
      <c r="B230" s="73"/>
      <c r="C230" s="73"/>
      <c r="D230" s="73"/>
      <c r="E230" s="73"/>
      <c r="F230" s="73"/>
      <c r="G230" s="73"/>
      <c r="H230" s="73"/>
      <c r="I230" s="73"/>
      <c r="J230" s="73"/>
      <c r="K230" s="73"/>
      <c r="L230" s="73"/>
      <c r="M230" s="73"/>
      <c r="N230" s="73"/>
      <c r="O230" s="73"/>
      <c r="P230" s="73"/>
      <c r="Q230" s="73"/>
      <c r="R230" s="73"/>
      <c r="S230" s="73"/>
    </row>
    <row r="231" spans="1:19" ht="12.75">
      <c r="A231" s="73"/>
      <c r="B231" s="73"/>
      <c r="C231" s="73"/>
      <c r="D231" s="73"/>
      <c r="E231" s="73"/>
      <c r="F231" s="73"/>
      <c r="G231" s="73"/>
      <c r="H231" s="73"/>
      <c r="I231" s="73"/>
      <c r="J231" s="73"/>
      <c r="K231" s="73"/>
      <c r="L231" s="73"/>
      <c r="M231" s="73"/>
      <c r="N231" s="73"/>
      <c r="O231" s="73"/>
      <c r="P231" s="73"/>
      <c r="Q231" s="73"/>
      <c r="R231" s="73"/>
      <c r="S231" s="73"/>
    </row>
    <row r="232" spans="1:19" ht="12.75">
      <c r="A232" s="73"/>
      <c r="B232" s="73"/>
      <c r="C232" s="73"/>
      <c r="D232" s="73"/>
      <c r="E232" s="73"/>
      <c r="F232" s="73"/>
      <c r="G232" s="73"/>
      <c r="H232" s="73"/>
      <c r="I232" s="73"/>
      <c r="J232" s="73"/>
      <c r="K232" s="73"/>
      <c r="L232" s="73"/>
      <c r="M232" s="73"/>
      <c r="N232" s="73"/>
      <c r="O232" s="73"/>
      <c r="P232" s="73"/>
      <c r="Q232" s="73"/>
      <c r="R232" s="73"/>
      <c r="S232" s="73"/>
    </row>
    <row r="233" spans="1:19" ht="12.75">
      <c r="A233" s="73"/>
      <c r="B233" s="73"/>
      <c r="C233" s="73"/>
      <c r="D233" s="73"/>
      <c r="E233" s="73"/>
      <c r="F233" s="73"/>
      <c r="G233" s="73"/>
      <c r="H233" s="73"/>
      <c r="I233" s="73"/>
      <c r="J233" s="73"/>
      <c r="K233" s="73"/>
      <c r="L233" s="73"/>
      <c r="M233" s="73"/>
      <c r="N233" s="73"/>
      <c r="O233" s="73"/>
      <c r="P233" s="73"/>
      <c r="Q233" s="73"/>
      <c r="R233" s="73"/>
      <c r="S233" s="73"/>
    </row>
    <row r="234" spans="1:19" ht="12.75">
      <c r="A234" s="73"/>
      <c r="B234" s="73"/>
      <c r="C234" s="73"/>
      <c r="D234" s="73"/>
      <c r="E234" s="73"/>
      <c r="F234" s="73"/>
      <c r="G234" s="73"/>
      <c r="H234" s="73"/>
      <c r="I234" s="73"/>
      <c r="J234" s="73"/>
      <c r="K234" s="73"/>
      <c r="L234" s="73"/>
      <c r="M234" s="73"/>
      <c r="N234" s="73"/>
      <c r="O234" s="73"/>
      <c r="P234" s="73"/>
      <c r="Q234" s="73"/>
      <c r="R234" s="73"/>
      <c r="S234" s="73"/>
    </row>
    <row r="235" spans="1:19" ht="12.75">
      <c r="A235" s="73"/>
      <c r="B235" s="73"/>
      <c r="C235" s="73"/>
      <c r="D235" s="73"/>
      <c r="E235" s="73"/>
      <c r="F235" s="73"/>
      <c r="G235" s="73"/>
      <c r="H235" s="73"/>
      <c r="I235" s="73"/>
      <c r="J235" s="73"/>
      <c r="K235" s="73"/>
      <c r="L235" s="73"/>
      <c r="M235" s="73"/>
      <c r="N235" s="73"/>
      <c r="O235" s="73"/>
      <c r="P235" s="73"/>
      <c r="Q235" s="73"/>
      <c r="R235" s="73"/>
      <c r="S235" s="73"/>
    </row>
    <row r="236" spans="1:19" ht="12.75">
      <c r="A236" s="73"/>
      <c r="B236" s="73"/>
      <c r="C236" s="73"/>
      <c r="D236" s="73"/>
      <c r="E236" s="73"/>
      <c r="F236" s="73"/>
      <c r="G236" s="73"/>
      <c r="H236" s="73"/>
      <c r="I236" s="73"/>
      <c r="J236" s="73"/>
      <c r="K236" s="73"/>
      <c r="L236" s="73"/>
      <c r="M236" s="73"/>
      <c r="N236" s="73"/>
      <c r="O236" s="73"/>
      <c r="P236" s="73"/>
      <c r="Q236" s="73"/>
      <c r="R236" s="73"/>
      <c r="S236" s="73"/>
    </row>
    <row r="237" spans="1:19" ht="12.75">
      <c r="A237" s="73"/>
      <c r="B237" s="73"/>
      <c r="C237" s="73"/>
      <c r="D237" s="73"/>
      <c r="E237" s="73"/>
      <c r="F237" s="73"/>
      <c r="G237" s="73"/>
      <c r="H237" s="73"/>
      <c r="I237" s="73"/>
      <c r="J237" s="73"/>
      <c r="K237" s="73"/>
      <c r="L237" s="73"/>
      <c r="M237" s="73"/>
      <c r="N237" s="73"/>
      <c r="O237" s="73"/>
      <c r="P237" s="73"/>
      <c r="Q237" s="73"/>
      <c r="R237" s="73"/>
      <c r="S237" s="73"/>
    </row>
    <row r="238" spans="1:19" ht="12.75">
      <c r="A238" s="73"/>
      <c r="B238" s="73"/>
      <c r="C238" s="73"/>
      <c r="D238" s="73"/>
      <c r="E238" s="73"/>
      <c r="F238" s="73"/>
      <c r="G238" s="73"/>
      <c r="H238" s="73"/>
      <c r="I238" s="73"/>
      <c r="J238" s="73"/>
      <c r="K238" s="73"/>
      <c r="L238" s="73"/>
      <c r="M238" s="73"/>
      <c r="N238" s="73"/>
      <c r="O238" s="73"/>
      <c r="P238" s="73"/>
      <c r="Q238" s="73"/>
      <c r="R238" s="73"/>
      <c r="S238" s="73"/>
    </row>
    <row r="239" spans="1:19" ht="12.75">
      <c r="A239" s="73"/>
      <c r="B239" s="73"/>
      <c r="C239" s="73"/>
      <c r="D239" s="73"/>
      <c r="E239" s="73"/>
      <c r="F239" s="73"/>
      <c r="G239" s="73"/>
      <c r="H239" s="73"/>
      <c r="I239" s="73"/>
      <c r="J239" s="73"/>
      <c r="K239" s="73"/>
      <c r="L239" s="73"/>
      <c r="M239" s="73"/>
      <c r="N239" s="73"/>
      <c r="O239" s="73"/>
      <c r="P239" s="73"/>
      <c r="Q239" s="73"/>
      <c r="R239" s="73"/>
      <c r="S239" s="73"/>
    </row>
    <row r="240" spans="1:19" ht="12.75">
      <c r="A240" s="73"/>
      <c r="B240" s="73"/>
      <c r="C240" s="73"/>
      <c r="D240" s="73"/>
      <c r="E240" s="73"/>
      <c r="F240" s="73"/>
      <c r="G240" s="73"/>
      <c r="H240" s="73"/>
      <c r="I240" s="73"/>
      <c r="J240" s="73"/>
      <c r="K240" s="73"/>
      <c r="L240" s="73"/>
      <c r="M240" s="73"/>
      <c r="N240" s="73"/>
      <c r="O240" s="73"/>
      <c r="P240" s="73"/>
      <c r="Q240" s="73"/>
      <c r="R240" s="73"/>
      <c r="S240" s="73"/>
    </row>
    <row r="241" spans="1:19" ht="12.75">
      <c r="A241" s="73"/>
      <c r="B241" s="73"/>
      <c r="C241" s="73"/>
      <c r="D241" s="73"/>
      <c r="E241" s="73"/>
      <c r="F241" s="73"/>
      <c r="G241" s="73"/>
      <c r="H241" s="73"/>
      <c r="I241" s="73"/>
      <c r="J241" s="73"/>
      <c r="K241" s="73"/>
      <c r="L241" s="73"/>
      <c r="M241" s="73"/>
      <c r="N241" s="73"/>
      <c r="O241" s="73"/>
      <c r="P241" s="73"/>
      <c r="Q241" s="73"/>
      <c r="R241" s="73"/>
      <c r="S241" s="73"/>
    </row>
    <row r="242" spans="1:19" ht="12.75">
      <c r="A242" s="73"/>
      <c r="B242" s="73"/>
      <c r="C242" s="73"/>
      <c r="D242" s="73"/>
      <c r="E242" s="73"/>
      <c r="F242" s="73"/>
      <c r="G242" s="73"/>
      <c r="H242" s="73"/>
      <c r="I242" s="73"/>
      <c r="J242" s="73"/>
      <c r="K242" s="73"/>
      <c r="L242" s="73"/>
      <c r="M242" s="73"/>
      <c r="N242" s="73"/>
      <c r="O242" s="73"/>
      <c r="P242" s="73"/>
      <c r="Q242" s="73"/>
      <c r="R242" s="73"/>
      <c r="S242" s="73"/>
    </row>
    <row r="243" spans="1:19" ht="12.75">
      <c r="A243" s="73"/>
      <c r="B243" s="73"/>
      <c r="C243" s="73"/>
      <c r="D243" s="73"/>
      <c r="E243" s="73"/>
      <c r="F243" s="73"/>
      <c r="G243" s="73"/>
      <c r="H243" s="73"/>
      <c r="I243" s="73"/>
      <c r="J243" s="73"/>
      <c r="K243" s="73"/>
      <c r="L243" s="73"/>
      <c r="M243" s="73"/>
      <c r="N243" s="73"/>
      <c r="O243" s="73"/>
      <c r="P243" s="73"/>
      <c r="Q243" s="73"/>
      <c r="R243" s="73"/>
      <c r="S243" s="73"/>
    </row>
    <row r="244" spans="1:19" ht="12.75">
      <c r="A244" s="73"/>
      <c r="B244" s="73"/>
      <c r="C244" s="73"/>
      <c r="D244" s="73"/>
      <c r="E244" s="73"/>
      <c r="F244" s="73"/>
      <c r="G244" s="73"/>
      <c r="H244" s="73"/>
      <c r="I244" s="73"/>
      <c r="J244" s="73"/>
      <c r="K244" s="73"/>
      <c r="L244" s="73"/>
      <c r="M244" s="73"/>
      <c r="N244" s="73"/>
      <c r="O244" s="73"/>
      <c r="P244" s="73"/>
      <c r="Q244" s="73"/>
      <c r="R244" s="73"/>
      <c r="S244" s="73"/>
    </row>
    <row r="245" spans="1:19" ht="12.75">
      <c r="A245" s="73"/>
      <c r="B245" s="73"/>
      <c r="C245" s="73"/>
      <c r="D245" s="73"/>
      <c r="E245" s="73"/>
      <c r="F245" s="73"/>
      <c r="G245" s="73"/>
      <c r="H245" s="73"/>
      <c r="I245" s="73"/>
      <c r="J245" s="73"/>
      <c r="K245" s="73"/>
      <c r="L245" s="73"/>
      <c r="M245" s="73"/>
      <c r="N245" s="73"/>
      <c r="O245" s="73"/>
      <c r="P245" s="73"/>
      <c r="Q245" s="73"/>
      <c r="R245" s="73"/>
      <c r="S245" s="73"/>
    </row>
    <row r="246" spans="1:19" ht="12.75">
      <c r="A246" s="73"/>
      <c r="B246" s="73"/>
      <c r="C246" s="73"/>
      <c r="D246" s="73"/>
      <c r="E246" s="73"/>
      <c r="F246" s="73"/>
      <c r="G246" s="73"/>
      <c r="H246" s="73"/>
      <c r="I246" s="73"/>
      <c r="J246" s="73"/>
      <c r="K246" s="73"/>
      <c r="L246" s="73"/>
      <c r="M246" s="73"/>
      <c r="N246" s="73"/>
      <c r="O246" s="73"/>
      <c r="P246" s="73"/>
      <c r="Q246" s="73"/>
      <c r="R246" s="73"/>
      <c r="S246" s="73"/>
    </row>
    <row r="247" spans="1:19" ht="12.75">
      <c r="A247" s="73"/>
      <c r="B247" s="73"/>
      <c r="C247" s="73"/>
      <c r="D247" s="73"/>
      <c r="E247" s="73"/>
      <c r="F247" s="73"/>
      <c r="G247" s="73"/>
      <c r="H247" s="73"/>
      <c r="I247" s="73"/>
      <c r="J247" s="73"/>
      <c r="K247" s="73"/>
      <c r="L247" s="73"/>
      <c r="M247" s="73"/>
      <c r="N247" s="73"/>
      <c r="O247" s="73"/>
      <c r="P247" s="73"/>
      <c r="Q247" s="73"/>
      <c r="R247" s="73"/>
      <c r="S247" s="73"/>
    </row>
    <row r="248" spans="1:19" ht="12.75">
      <c r="A248" s="73"/>
      <c r="B248" s="73"/>
      <c r="C248" s="73"/>
      <c r="D248" s="73"/>
      <c r="E248" s="73"/>
      <c r="F248" s="73"/>
      <c r="G248" s="73"/>
      <c r="H248" s="73"/>
      <c r="I248" s="73"/>
      <c r="J248" s="73"/>
      <c r="K248" s="73"/>
      <c r="L248" s="73"/>
      <c r="M248" s="73"/>
      <c r="N248" s="73"/>
      <c r="O248" s="73"/>
      <c r="P248" s="73"/>
      <c r="Q248" s="73"/>
      <c r="R248" s="73"/>
      <c r="S248" s="73"/>
    </row>
    <row r="249" spans="1:19" ht="12.75">
      <c r="A249" s="73"/>
      <c r="B249" s="73"/>
      <c r="C249" s="73"/>
      <c r="D249" s="73"/>
      <c r="E249" s="73"/>
      <c r="F249" s="73"/>
      <c r="G249" s="73"/>
      <c r="H249" s="73"/>
      <c r="I249" s="73"/>
      <c r="J249" s="73"/>
      <c r="K249" s="73"/>
      <c r="L249" s="73"/>
      <c r="M249" s="73"/>
      <c r="N249" s="73"/>
      <c r="O249" s="73"/>
      <c r="P249" s="73"/>
      <c r="Q249" s="73"/>
      <c r="R249" s="73"/>
      <c r="S249" s="73"/>
    </row>
    <row r="250" spans="1:19" ht="12.75">
      <c r="A250" s="73"/>
      <c r="B250" s="73"/>
      <c r="C250" s="73"/>
      <c r="D250" s="73"/>
      <c r="E250" s="73"/>
      <c r="F250" s="73"/>
      <c r="G250" s="73"/>
      <c r="H250" s="73"/>
      <c r="I250" s="73"/>
      <c r="J250" s="73"/>
      <c r="K250" s="73"/>
      <c r="L250" s="73"/>
      <c r="M250" s="73"/>
      <c r="N250" s="73"/>
      <c r="O250" s="73"/>
      <c r="P250" s="73"/>
      <c r="Q250" s="73"/>
      <c r="R250" s="73"/>
      <c r="S250" s="73"/>
    </row>
    <row r="251" spans="1:19" ht="12.75">
      <c r="A251" s="73"/>
      <c r="B251" s="73"/>
      <c r="C251" s="73"/>
      <c r="D251" s="73"/>
      <c r="E251" s="73"/>
      <c r="F251" s="73"/>
      <c r="G251" s="73"/>
      <c r="H251" s="73"/>
      <c r="I251" s="73"/>
      <c r="J251" s="73"/>
      <c r="K251" s="73"/>
      <c r="L251" s="73"/>
      <c r="M251" s="73"/>
      <c r="N251" s="73"/>
      <c r="O251" s="73"/>
      <c r="P251" s="73"/>
      <c r="Q251" s="73"/>
      <c r="R251" s="73"/>
      <c r="S251" s="73"/>
    </row>
    <row r="252" spans="1:19" ht="12.75">
      <c r="A252" s="73"/>
      <c r="B252" s="73"/>
      <c r="C252" s="73"/>
      <c r="D252" s="73"/>
      <c r="E252" s="73"/>
      <c r="F252" s="73"/>
      <c r="G252" s="73"/>
      <c r="H252" s="73"/>
      <c r="I252" s="73"/>
      <c r="J252" s="73"/>
      <c r="K252" s="73"/>
      <c r="L252" s="73"/>
      <c r="M252" s="73"/>
      <c r="N252" s="73"/>
      <c r="O252" s="73"/>
      <c r="P252" s="73"/>
      <c r="Q252" s="73"/>
      <c r="R252" s="73"/>
      <c r="S252" s="73"/>
    </row>
    <row r="253" spans="1:19" ht="12.75">
      <c r="A253" s="73"/>
      <c r="B253" s="73"/>
      <c r="C253" s="73"/>
      <c r="D253" s="73"/>
      <c r="E253" s="73"/>
      <c r="F253" s="73"/>
      <c r="G253" s="73"/>
      <c r="H253" s="73"/>
      <c r="I253" s="73"/>
      <c r="J253" s="73"/>
      <c r="K253" s="73"/>
      <c r="L253" s="73"/>
      <c r="M253" s="73"/>
      <c r="N253" s="73"/>
      <c r="O253" s="73"/>
      <c r="P253" s="73"/>
      <c r="Q253" s="73"/>
      <c r="R253" s="73"/>
      <c r="S253" s="73"/>
    </row>
    <row r="254" spans="1:19" ht="12.75">
      <c r="A254" s="73"/>
      <c r="B254" s="73"/>
      <c r="C254" s="73"/>
      <c r="D254" s="73"/>
      <c r="E254" s="73"/>
      <c r="F254" s="73"/>
      <c r="G254" s="73"/>
      <c r="H254" s="73"/>
      <c r="I254" s="73"/>
      <c r="J254" s="73"/>
      <c r="K254" s="73"/>
      <c r="L254" s="73"/>
      <c r="M254" s="73"/>
      <c r="N254" s="73"/>
      <c r="O254" s="73"/>
      <c r="P254" s="73"/>
      <c r="Q254" s="73"/>
      <c r="R254" s="73"/>
      <c r="S254" s="73"/>
    </row>
    <row r="255" spans="1:19" ht="12.75">
      <c r="A255" s="73"/>
      <c r="B255" s="73"/>
      <c r="C255" s="73"/>
      <c r="D255" s="73"/>
      <c r="E255" s="73"/>
      <c r="F255" s="73"/>
      <c r="G255" s="73"/>
      <c r="H255" s="73"/>
      <c r="I255" s="73"/>
      <c r="J255" s="73"/>
      <c r="K255" s="73"/>
      <c r="L255" s="73"/>
      <c r="M255" s="73"/>
      <c r="N255" s="73"/>
      <c r="O255" s="73"/>
      <c r="P255" s="73"/>
      <c r="Q255" s="73"/>
      <c r="R255" s="73"/>
      <c r="S255" s="73"/>
    </row>
    <row r="256" spans="1:19" ht="12.75">
      <c r="A256" s="73"/>
      <c r="B256" s="73"/>
      <c r="C256" s="73"/>
      <c r="D256" s="73"/>
      <c r="E256" s="73"/>
      <c r="F256" s="73"/>
      <c r="G256" s="73"/>
      <c r="H256" s="73"/>
      <c r="I256" s="73"/>
      <c r="J256" s="73"/>
      <c r="K256" s="73"/>
      <c r="L256" s="73"/>
      <c r="M256" s="73"/>
      <c r="N256" s="73"/>
      <c r="O256" s="73"/>
      <c r="P256" s="73"/>
      <c r="Q256" s="73"/>
      <c r="R256" s="73"/>
      <c r="S256" s="73"/>
    </row>
    <row r="257" spans="1:19" ht="12.75">
      <c r="A257" s="73"/>
      <c r="B257" s="73"/>
      <c r="C257" s="73"/>
      <c r="D257" s="73"/>
      <c r="E257" s="73"/>
      <c r="F257" s="73"/>
      <c r="G257" s="73"/>
      <c r="H257" s="73"/>
      <c r="I257" s="73"/>
      <c r="J257" s="73"/>
      <c r="K257" s="73"/>
      <c r="L257" s="73"/>
      <c r="M257" s="73"/>
      <c r="N257" s="73"/>
      <c r="O257" s="73"/>
      <c r="P257" s="73"/>
      <c r="Q257" s="73"/>
      <c r="R257" s="73"/>
      <c r="S257" s="73"/>
    </row>
    <row r="258" spans="1:19" ht="12.75">
      <c r="A258" s="73"/>
      <c r="B258" s="73"/>
      <c r="C258" s="73"/>
      <c r="D258" s="73"/>
      <c r="E258" s="73"/>
      <c r="F258" s="73"/>
      <c r="G258" s="73"/>
      <c r="H258" s="73"/>
      <c r="I258" s="73"/>
      <c r="J258" s="73"/>
      <c r="K258" s="73"/>
      <c r="L258" s="73"/>
      <c r="M258" s="73"/>
      <c r="N258" s="73"/>
      <c r="O258" s="73"/>
      <c r="P258" s="73"/>
      <c r="Q258" s="73"/>
      <c r="R258" s="73"/>
      <c r="S258" s="73"/>
    </row>
    <row r="259" spans="1:19" ht="12.75">
      <c r="A259" s="73"/>
      <c r="B259" s="73"/>
      <c r="C259" s="73"/>
      <c r="D259" s="73"/>
      <c r="E259" s="73"/>
      <c r="F259" s="73"/>
      <c r="G259" s="73"/>
      <c r="H259" s="73"/>
      <c r="I259" s="73"/>
      <c r="J259" s="73"/>
      <c r="K259" s="73"/>
      <c r="L259" s="73"/>
      <c r="M259" s="73"/>
      <c r="N259" s="73"/>
      <c r="O259" s="73"/>
      <c r="P259" s="73"/>
      <c r="Q259" s="73"/>
      <c r="R259" s="73"/>
      <c r="S259" s="73"/>
    </row>
    <row r="260" spans="1:19" ht="12.75">
      <c r="A260" s="73"/>
      <c r="B260" s="73"/>
      <c r="C260" s="73"/>
      <c r="D260" s="73"/>
      <c r="E260" s="73"/>
      <c r="F260" s="73"/>
      <c r="G260" s="73"/>
      <c r="H260" s="73"/>
      <c r="I260" s="73"/>
      <c r="J260" s="73"/>
      <c r="K260" s="73"/>
      <c r="L260" s="73"/>
      <c r="M260" s="73"/>
      <c r="N260" s="73"/>
      <c r="O260" s="73"/>
      <c r="P260" s="73"/>
      <c r="Q260" s="73"/>
      <c r="R260" s="73"/>
      <c r="S260" s="73"/>
    </row>
    <row r="261" spans="1:19" ht="12.75">
      <c r="A261" s="73"/>
      <c r="B261" s="73"/>
      <c r="C261" s="73"/>
      <c r="D261" s="73"/>
      <c r="E261" s="73"/>
      <c r="F261" s="73"/>
      <c r="G261" s="73"/>
      <c r="H261" s="73"/>
      <c r="I261" s="73"/>
      <c r="J261" s="73"/>
      <c r="K261" s="73"/>
      <c r="L261" s="73"/>
      <c r="M261" s="73"/>
      <c r="N261" s="73"/>
      <c r="O261" s="73"/>
      <c r="P261" s="73"/>
      <c r="Q261" s="73"/>
      <c r="R261" s="73"/>
      <c r="S261" s="73"/>
    </row>
    <row r="262" spans="1:19" ht="12.75">
      <c r="A262" s="73"/>
      <c r="B262" s="73"/>
      <c r="C262" s="73"/>
      <c r="D262" s="73"/>
      <c r="E262" s="73"/>
      <c r="F262" s="73"/>
      <c r="G262" s="73"/>
      <c r="H262" s="73"/>
      <c r="I262" s="73"/>
      <c r="J262" s="73"/>
      <c r="K262" s="73"/>
      <c r="L262" s="73"/>
      <c r="M262" s="73"/>
      <c r="N262" s="73"/>
      <c r="O262" s="73"/>
      <c r="P262" s="73"/>
      <c r="Q262" s="73"/>
      <c r="R262" s="73"/>
      <c r="S262" s="73"/>
    </row>
    <row r="263" spans="1:19" ht="12.75">
      <c r="A263" s="73"/>
      <c r="B263" s="73"/>
      <c r="C263" s="73"/>
      <c r="D263" s="73"/>
      <c r="E263" s="73"/>
      <c r="F263" s="73"/>
      <c r="G263" s="73"/>
      <c r="H263" s="73"/>
      <c r="I263" s="73"/>
      <c r="J263" s="73"/>
      <c r="K263" s="73"/>
      <c r="L263" s="73"/>
      <c r="M263" s="73"/>
      <c r="N263" s="73"/>
      <c r="O263" s="73"/>
      <c r="P263" s="73"/>
      <c r="Q263" s="73"/>
      <c r="R263" s="73"/>
      <c r="S263" s="73"/>
    </row>
    <row r="264" spans="1:19" ht="12.75">
      <c r="A264" s="73"/>
      <c r="B264" s="73"/>
      <c r="C264" s="73"/>
      <c r="D264" s="73"/>
      <c r="E264" s="73"/>
      <c r="F264" s="73"/>
      <c r="G264" s="73"/>
      <c r="H264" s="73"/>
      <c r="I264" s="73"/>
      <c r="J264" s="73"/>
      <c r="K264" s="73"/>
      <c r="L264" s="73"/>
      <c r="M264" s="73"/>
      <c r="N264" s="73"/>
      <c r="O264" s="73"/>
      <c r="P264" s="73"/>
      <c r="Q264" s="73"/>
      <c r="R264" s="73"/>
      <c r="S264" s="73"/>
    </row>
    <row r="265" spans="1:19" ht="12.75">
      <c r="A265" s="73"/>
      <c r="B265" s="73"/>
      <c r="C265" s="73"/>
      <c r="D265" s="73"/>
      <c r="E265" s="73"/>
      <c r="F265" s="73"/>
      <c r="G265" s="73"/>
      <c r="H265" s="73"/>
      <c r="I265" s="73"/>
      <c r="J265" s="73"/>
      <c r="K265" s="73"/>
      <c r="L265" s="73"/>
      <c r="M265" s="73"/>
      <c r="N265" s="73"/>
      <c r="O265" s="73"/>
      <c r="P265" s="73"/>
      <c r="Q265" s="73"/>
      <c r="R265" s="73"/>
      <c r="S265" s="73"/>
    </row>
    <row r="266" spans="1:19" ht="12.75">
      <c r="A266" s="73"/>
      <c r="B266" s="73"/>
      <c r="C266" s="73"/>
      <c r="D266" s="73"/>
      <c r="E266" s="73"/>
      <c r="F266" s="73"/>
      <c r="G266" s="73"/>
      <c r="H266" s="73"/>
      <c r="I266" s="73"/>
      <c r="J266" s="73"/>
      <c r="K266" s="73"/>
      <c r="L266" s="73"/>
      <c r="M266" s="73"/>
      <c r="N266" s="73"/>
      <c r="O266" s="73"/>
      <c r="P266" s="73"/>
      <c r="Q266" s="73"/>
      <c r="R266" s="73"/>
      <c r="S266" s="73"/>
    </row>
    <row r="267" spans="1:19" ht="12.75">
      <c r="A267" s="73"/>
      <c r="B267" s="73"/>
      <c r="C267" s="73"/>
      <c r="D267" s="73"/>
      <c r="E267" s="73"/>
      <c r="F267" s="73"/>
      <c r="G267" s="73"/>
      <c r="H267" s="73"/>
      <c r="I267" s="73"/>
      <c r="J267" s="73"/>
      <c r="K267" s="73"/>
      <c r="L267" s="73"/>
      <c r="M267" s="73"/>
      <c r="N267" s="73"/>
      <c r="O267" s="73"/>
      <c r="P267" s="73"/>
      <c r="Q267" s="73"/>
      <c r="R267" s="73"/>
      <c r="S267" s="73"/>
    </row>
    <row r="268" spans="1:19" ht="12.75">
      <c r="A268" s="73"/>
      <c r="B268" s="73"/>
      <c r="C268" s="73"/>
      <c r="D268" s="73"/>
      <c r="E268" s="73"/>
      <c r="F268" s="73"/>
      <c r="G268" s="73"/>
      <c r="H268" s="73"/>
      <c r="I268" s="73"/>
      <c r="J268" s="73"/>
      <c r="K268" s="73"/>
      <c r="L268" s="73"/>
      <c r="M268" s="73"/>
      <c r="N268" s="73"/>
      <c r="O268" s="73"/>
      <c r="P268" s="73"/>
      <c r="Q268" s="73"/>
      <c r="R268" s="73"/>
      <c r="S268" s="73"/>
    </row>
    <row r="269" spans="1:19" ht="12.75">
      <c r="A269" s="73"/>
      <c r="B269" s="73"/>
      <c r="C269" s="73"/>
      <c r="D269" s="73"/>
      <c r="E269" s="73"/>
      <c r="F269" s="73"/>
      <c r="G269" s="73"/>
      <c r="H269" s="73"/>
      <c r="I269" s="73"/>
      <c r="J269" s="73"/>
      <c r="K269" s="73"/>
      <c r="L269" s="73"/>
      <c r="M269" s="73"/>
      <c r="N269" s="73"/>
      <c r="O269" s="73"/>
      <c r="P269" s="73"/>
      <c r="Q269" s="73"/>
      <c r="R269" s="73"/>
      <c r="S269" s="73"/>
    </row>
    <row r="270" spans="1:19" ht="12.75">
      <c r="A270" s="73"/>
      <c r="B270" s="73"/>
      <c r="C270" s="73"/>
      <c r="D270" s="73"/>
      <c r="E270" s="73"/>
      <c r="F270" s="73"/>
      <c r="G270" s="73"/>
      <c r="H270" s="73"/>
      <c r="I270" s="73"/>
      <c r="J270" s="73"/>
      <c r="K270" s="73"/>
      <c r="L270" s="73"/>
      <c r="M270" s="73"/>
      <c r="N270" s="73"/>
      <c r="O270" s="73"/>
      <c r="P270" s="73"/>
      <c r="Q270" s="73"/>
      <c r="R270" s="73"/>
      <c r="S270" s="73"/>
    </row>
    <row r="271" spans="1:19" ht="12.75">
      <c r="A271" s="73"/>
      <c r="B271" s="73"/>
      <c r="C271" s="73"/>
      <c r="D271" s="73"/>
      <c r="E271" s="73"/>
      <c r="F271" s="73"/>
      <c r="G271" s="73"/>
      <c r="H271" s="73"/>
      <c r="I271" s="73"/>
      <c r="J271" s="73"/>
      <c r="K271" s="73"/>
      <c r="L271" s="73"/>
      <c r="M271" s="73"/>
      <c r="N271" s="73"/>
      <c r="O271" s="73"/>
      <c r="P271" s="73"/>
      <c r="Q271" s="73"/>
      <c r="R271" s="73"/>
      <c r="S271" s="73"/>
    </row>
    <row r="272" spans="1:19" ht="12.75">
      <c r="A272" s="73"/>
      <c r="B272" s="73"/>
      <c r="C272" s="73"/>
      <c r="D272" s="73"/>
      <c r="E272" s="73"/>
      <c r="F272" s="73"/>
      <c r="G272" s="73"/>
      <c r="H272" s="73"/>
      <c r="I272" s="73"/>
      <c r="J272" s="73"/>
      <c r="K272" s="73"/>
      <c r="L272" s="73"/>
      <c r="M272" s="73"/>
      <c r="N272" s="73"/>
      <c r="O272" s="73"/>
      <c r="P272" s="73"/>
      <c r="Q272" s="73"/>
      <c r="R272" s="73"/>
      <c r="S272" s="73"/>
    </row>
    <row r="273" spans="1:19" ht="12.75">
      <c r="A273" s="73"/>
      <c r="B273" s="73"/>
      <c r="C273" s="73"/>
      <c r="D273" s="73"/>
      <c r="E273" s="73"/>
      <c r="F273" s="73"/>
      <c r="G273" s="73"/>
      <c r="H273" s="73"/>
      <c r="I273" s="73"/>
      <c r="J273" s="73"/>
      <c r="K273" s="73"/>
      <c r="L273" s="73"/>
      <c r="M273" s="73"/>
      <c r="N273" s="73"/>
      <c r="O273" s="73"/>
      <c r="P273" s="73"/>
      <c r="Q273" s="73"/>
      <c r="R273" s="73"/>
      <c r="S273" s="73"/>
    </row>
    <row r="274" spans="1:19" ht="12.75">
      <c r="A274" s="73"/>
      <c r="B274" s="73"/>
      <c r="C274" s="73"/>
      <c r="D274" s="73"/>
      <c r="E274" s="73"/>
      <c r="F274" s="73"/>
      <c r="G274" s="73"/>
      <c r="H274" s="73"/>
      <c r="I274" s="73"/>
      <c r="J274" s="73"/>
      <c r="K274" s="73"/>
      <c r="L274" s="73"/>
      <c r="M274" s="73"/>
      <c r="N274" s="73"/>
      <c r="O274" s="73"/>
      <c r="P274" s="73"/>
      <c r="Q274" s="73"/>
      <c r="R274" s="73"/>
      <c r="S274" s="73"/>
    </row>
    <row r="275" spans="1:19" ht="12.75">
      <c r="A275" s="73"/>
      <c r="B275" s="73"/>
      <c r="C275" s="73"/>
      <c r="D275" s="73"/>
      <c r="E275" s="73"/>
      <c r="F275" s="73"/>
      <c r="G275" s="73"/>
      <c r="H275" s="73"/>
      <c r="I275" s="73"/>
      <c r="J275" s="73"/>
      <c r="K275" s="73"/>
      <c r="L275" s="73"/>
      <c r="M275" s="73"/>
      <c r="N275" s="73"/>
      <c r="O275" s="73"/>
      <c r="P275" s="73"/>
      <c r="Q275" s="73"/>
      <c r="R275" s="73"/>
      <c r="S275" s="73"/>
    </row>
    <row r="276" spans="1:19" ht="12.75">
      <c r="A276" s="73"/>
      <c r="B276" s="73"/>
      <c r="C276" s="73"/>
      <c r="D276" s="73"/>
      <c r="E276" s="73"/>
      <c r="F276" s="73"/>
      <c r="G276" s="73"/>
      <c r="H276" s="73"/>
      <c r="I276" s="73"/>
      <c r="J276" s="73"/>
      <c r="K276" s="73"/>
      <c r="L276" s="73"/>
      <c r="M276" s="73"/>
      <c r="N276" s="73"/>
      <c r="O276" s="73"/>
      <c r="P276" s="73"/>
      <c r="Q276" s="73"/>
      <c r="R276" s="73"/>
      <c r="S276" s="73"/>
    </row>
    <row r="277" spans="1:19" ht="12.75">
      <c r="A277" s="73"/>
      <c r="B277" s="73"/>
      <c r="C277" s="73"/>
      <c r="D277" s="73"/>
      <c r="E277" s="73"/>
      <c r="F277" s="73"/>
      <c r="G277" s="73"/>
      <c r="H277" s="73"/>
      <c r="I277" s="73"/>
      <c r="J277" s="73"/>
      <c r="K277" s="73"/>
      <c r="L277" s="73"/>
      <c r="M277" s="73"/>
      <c r="N277" s="73"/>
      <c r="O277" s="73"/>
      <c r="P277" s="73"/>
      <c r="Q277" s="73"/>
      <c r="R277" s="73"/>
      <c r="S277" s="73"/>
    </row>
    <row r="278" spans="1:19" ht="12.75">
      <c r="A278" s="73"/>
      <c r="B278" s="73"/>
      <c r="C278" s="73"/>
      <c r="D278" s="73"/>
      <c r="E278" s="73"/>
      <c r="F278" s="73"/>
      <c r="G278" s="73"/>
      <c r="H278" s="73"/>
      <c r="I278" s="73"/>
      <c r="J278" s="73"/>
      <c r="K278" s="73"/>
      <c r="L278" s="73"/>
      <c r="M278" s="73"/>
      <c r="N278" s="73"/>
      <c r="O278" s="73"/>
      <c r="P278" s="73"/>
      <c r="Q278" s="73"/>
      <c r="R278" s="73"/>
      <c r="S278" s="73"/>
    </row>
    <row r="279" spans="1:19" ht="12.75">
      <c r="A279" s="73"/>
      <c r="B279" s="73"/>
      <c r="C279" s="73"/>
      <c r="D279" s="73"/>
      <c r="E279" s="73"/>
      <c r="F279" s="73"/>
      <c r="G279" s="73"/>
      <c r="H279" s="73"/>
      <c r="I279" s="73"/>
      <c r="J279" s="73"/>
      <c r="K279" s="73"/>
      <c r="L279" s="73"/>
      <c r="M279" s="73"/>
      <c r="N279" s="73"/>
      <c r="O279" s="73"/>
      <c r="P279" s="73"/>
      <c r="Q279" s="73"/>
      <c r="R279" s="73"/>
      <c r="S279" s="73"/>
    </row>
    <row r="280" spans="1:19" ht="12.75">
      <c r="A280" s="73"/>
      <c r="B280" s="73"/>
      <c r="C280" s="73"/>
      <c r="D280" s="73"/>
      <c r="E280" s="73"/>
      <c r="F280" s="73"/>
      <c r="G280" s="73"/>
      <c r="H280" s="73"/>
      <c r="I280" s="73"/>
      <c r="J280" s="73"/>
      <c r="K280" s="73"/>
      <c r="L280" s="73"/>
      <c r="M280" s="73"/>
      <c r="N280" s="73"/>
      <c r="O280" s="73"/>
      <c r="P280" s="73"/>
      <c r="Q280" s="73"/>
      <c r="R280" s="73"/>
      <c r="S280" s="73"/>
    </row>
    <row r="281" spans="1:19" ht="12.75">
      <c r="A281" s="73"/>
      <c r="B281" s="73"/>
      <c r="C281" s="73"/>
      <c r="D281" s="73"/>
      <c r="E281" s="73"/>
      <c r="F281" s="73"/>
      <c r="G281" s="73"/>
      <c r="H281" s="73"/>
      <c r="I281" s="73"/>
      <c r="J281" s="73"/>
      <c r="K281" s="73"/>
      <c r="L281" s="73"/>
      <c r="M281" s="73"/>
      <c r="N281" s="73"/>
      <c r="O281" s="73"/>
      <c r="P281" s="73"/>
      <c r="Q281" s="73"/>
      <c r="R281" s="73"/>
      <c r="S281" s="73"/>
    </row>
    <row r="282" spans="1:19" ht="12.75">
      <c r="A282" s="73"/>
      <c r="B282" s="73"/>
      <c r="C282" s="73"/>
      <c r="D282" s="73"/>
      <c r="E282" s="73"/>
      <c r="F282" s="73"/>
      <c r="G282" s="73"/>
      <c r="H282" s="73"/>
      <c r="I282" s="73"/>
      <c r="J282" s="73"/>
      <c r="K282" s="73"/>
      <c r="L282" s="73"/>
      <c r="M282" s="73"/>
      <c r="N282" s="73"/>
      <c r="O282" s="73"/>
      <c r="P282" s="73"/>
      <c r="Q282" s="73"/>
      <c r="R282" s="73"/>
      <c r="S282" s="73"/>
    </row>
    <row r="283" spans="1:19" ht="12.75">
      <c r="A283" s="73"/>
      <c r="B283" s="73"/>
      <c r="C283" s="73"/>
      <c r="D283" s="73"/>
      <c r="E283" s="73"/>
      <c r="F283" s="73"/>
      <c r="G283" s="73"/>
      <c r="H283" s="73"/>
      <c r="I283" s="73"/>
      <c r="J283" s="73"/>
      <c r="K283" s="73"/>
      <c r="L283" s="73"/>
      <c r="M283" s="73"/>
      <c r="N283" s="73"/>
      <c r="O283" s="73"/>
      <c r="P283" s="73"/>
      <c r="Q283" s="73"/>
      <c r="R283" s="73"/>
      <c r="S283" s="73"/>
    </row>
    <row r="284" spans="1:19" ht="12.75">
      <c r="A284" s="73"/>
      <c r="B284" s="73"/>
      <c r="C284" s="73"/>
      <c r="D284" s="73"/>
      <c r="E284" s="73"/>
      <c r="F284" s="73"/>
      <c r="G284" s="73"/>
      <c r="H284" s="73"/>
      <c r="I284" s="73"/>
      <c r="J284" s="73"/>
      <c r="K284" s="73"/>
      <c r="L284" s="73"/>
      <c r="M284" s="73"/>
      <c r="N284" s="73"/>
      <c r="O284" s="73"/>
      <c r="P284" s="73"/>
      <c r="Q284" s="73"/>
      <c r="R284" s="73"/>
      <c r="S284" s="73"/>
    </row>
    <row r="285" spans="1:19" ht="12.75">
      <c r="A285" s="73"/>
      <c r="B285" s="73"/>
      <c r="C285" s="73"/>
      <c r="D285" s="73"/>
      <c r="E285" s="73"/>
      <c r="F285" s="73"/>
      <c r="G285" s="73"/>
      <c r="H285" s="73"/>
      <c r="I285" s="73"/>
      <c r="J285" s="73"/>
      <c r="K285" s="73"/>
      <c r="L285" s="73"/>
      <c r="M285" s="73"/>
      <c r="N285" s="73"/>
      <c r="O285" s="73"/>
      <c r="P285" s="73"/>
      <c r="Q285" s="73"/>
      <c r="R285" s="73"/>
      <c r="S285" s="73"/>
    </row>
    <row r="286" spans="1:19" ht="12.75">
      <c r="A286" s="73"/>
      <c r="B286" s="73"/>
      <c r="C286" s="73"/>
      <c r="D286" s="73"/>
      <c r="E286" s="73"/>
      <c r="F286" s="73"/>
      <c r="G286" s="73"/>
      <c r="H286" s="73"/>
      <c r="I286" s="73"/>
      <c r="J286" s="73"/>
      <c r="K286" s="73"/>
      <c r="L286" s="73"/>
      <c r="M286" s="73"/>
      <c r="N286" s="73"/>
      <c r="O286" s="73"/>
      <c r="P286" s="73"/>
      <c r="Q286" s="73"/>
      <c r="R286" s="73"/>
      <c r="S286" s="73"/>
    </row>
    <row r="287" spans="1:19" ht="12.75">
      <c r="A287" s="73"/>
      <c r="B287" s="73"/>
      <c r="C287" s="73"/>
      <c r="D287" s="73"/>
      <c r="E287" s="73"/>
      <c r="F287" s="73"/>
      <c r="G287" s="73"/>
      <c r="H287" s="73"/>
      <c r="I287" s="73"/>
      <c r="J287" s="73"/>
      <c r="K287" s="73"/>
      <c r="L287" s="73"/>
      <c r="M287" s="73"/>
      <c r="N287" s="73"/>
      <c r="O287" s="73"/>
      <c r="P287" s="73"/>
      <c r="Q287" s="73"/>
      <c r="R287" s="73"/>
      <c r="S287" s="73"/>
    </row>
    <row r="288" spans="1:19" ht="12.75">
      <c r="A288" s="73"/>
      <c r="B288" s="73"/>
      <c r="C288" s="73"/>
      <c r="D288" s="73"/>
      <c r="E288" s="73"/>
      <c r="F288" s="73"/>
      <c r="G288" s="73"/>
      <c r="H288" s="73"/>
      <c r="I288" s="73"/>
      <c r="J288" s="73"/>
      <c r="K288" s="73"/>
      <c r="L288" s="73"/>
      <c r="M288" s="73"/>
      <c r="N288" s="73"/>
      <c r="O288" s="73"/>
      <c r="P288" s="73"/>
      <c r="Q288" s="73"/>
      <c r="R288" s="73"/>
      <c r="S288" s="73"/>
    </row>
    <row r="289" spans="1:19" ht="12.75">
      <c r="A289" s="73"/>
      <c r="B289" s="73"/>
      <c r="C289" s="73"/>
      <c r="D289" s="73"/>
      <c r="E289" s="73"/>
      <c r="F289" s="73"/>
      <c r="G289" s="73"/>
      <c r="H289" s="73"/>
      <c r="I289" s="73"/>
      <c r="J289" s="73"/>
      <c r="K289" s="73"/>
      <c r="L289" s="73"/>
      <c r="M289" s="73"/>
      <c r="N289" s="73"/>
      <c r="O289" s="73"/>
      <c r="P289" s="73"/>
      <c r="Q289" s="73"/>
      <c r="R289" s="73"/>
      <c r="S289" s="73"/>
    </row>
    <row r="290" spans="1:19" ht="12.75">
      <c r="A290" s="73"/>
      <c r="B290" s="73"/>
      <c r="C290" s="73"/>
      <c r="D290" s="73"/>
      <c r="E290" s="73"/>
      <c r="F290" s="73"/>
      <c r="G290" s="73"/>
      <c r="H290" s="73"/>
      <c r="I290" s="73"/>
      <c r="J290" s="73"/>
      <c r="K290" s="73"/>
      <c r="L290" s="73"/>
      <c r="M290" s="73"/>
      <c r="N290" s="73"/>
      <c r="O290" s="73"/>
      <c r="P290" s="73"/>
      <c r="Q290" s="73"/>
      <c r="R290" s="73"/>
      <c r="S290" s="73"/>
    </row>
    <row r="291" spans="1:19" ht="12.75">
      <c r="A291" s="73"/>
      <c r="B291" s="73"/>
      <c r="C291" s="73"/>
      <c r="D291" s="73"/>
      <c r="E291" s="73"/>
      <c r="F291" s="73"/>
      <c r="G291" s="73"/>
      <c r="H291" s="73"/>
      <c r="I291" s="73"/>
      <c r="J291" s="73"/>
      <c r="K291" s="73"/>
      <c r="L291" s="73"/>
      <c r="M291" s="73"/>
      <c r="N291" s="73"/>
      <c r="O291" s="73"/>
      <c r="P291" s="73"/>
      <c r="Q291" s="73"/>
      <c r="R291" s="73"/>
      <c r="S291" s="73"/>
    </row>
    <row r="292" spans="1:19" ht="12.75">
      <c r="A292" s="73"/>
      <c r="B292" s="73"/>
      <c r="C292" s="73"/>
      <c r="D292" s="73"/>
      <c r="E292" s="73"/>
      <c r="F292" s="73"/>
      <c r="G292" s="73"/>
      <c r="H292" s="73"/>
      <c r="I292" s="73"/>
      <c r="J292" s="73"/>
      <c r="K292" s="73"/>
      <c r="L292" s="73"/>
      <c r="M292" s="73"/>
      <c r="N292" s="73"/>
      <c r="O292" s="73"/>
      <c r="P292" s="73"/>
      <c r="Q292" s="73"/>
      <c r="R292" s="73"/>
      <c r="S292" s="73"/>
    </row>
    <row r="293" spans="1:19" ht="12.75">
      <c r="A293" s="73"/>
      <c r="B293" s="73"/>
      <c r="C293" s="73"/>
      <c r="D293" s="73"/>
      <c r="E293" s="73"/>
      <c r="F293" s="73"/>
      <c r="G293" s="73"/>
      <c r="H293" s="73"/>
      <c r="I293" s="73"/>
      <c r="J293" s="73"/>
      <c r="K293" s="73"/>
      <c r="L293" s="73"/>
      <c r="M293" s="73"/>
      <c r="N293" s="73"/>
      <c r="O293" s="73"/>
      <c r="P293" s="73"/>
      <c r="Q293" s="73"/>
      <c r="R293" s="73"/>
      <c r="S293" s="73"/>
    </row>
    <row r="294" spans="1:19" ht="12.75">
      <c r="A294" s="73"/>
      <c r="B294" s="73"/>
      <c r="C294" s="73"/>
      <c r="D294" s="73"/>
      <c r="E294" s="73"/>
      <c r="F294" s="73"/>
      <c r="G294" s="73"/>
      <c r="H294" s="73"/>
      <c r="I294" s="73"/>
      <c r="J294" s="73"/>
      <c r="K294" s="73"/>
      <c r="L294" s="73"/>
      <c r="M294" s="73"/>
      <c r="N294" s="73"/>
      <c r="O294" s="73"/>
      <c r="P294" s="73"/>
      <c r="Q294" s="73"/>
      <c r="R294" s="73"/>
      <c r="S294" s="73"/>
    </row>
    <row r="295" spans="1:19" ht="12.75">
      <c r="A295" s="73"/>
      <c r="B295" s="73"/>
      <c r="C295" s="73"/>
      <c r="D295" s="73"/>
      <c r="E295" s="73"/>
      <c r="F295" s="73"/>
      <c r="G295" s="73"/>
      <c r="H295" s="73"/>
      <c r="I295" s="73"/>
      <c r="J295" s="73"/>
      <c r="K295" s="73"/>
      <c r="L295" s="73"/>
      <c r="M295" s="73"/>
      <c r="N295" s="73"/>
      <c r="O295" s="73"/>
      <c r="P295" s="73"/>
      <c r="Q295" s="73"/>
      <c r="R295" s="73"/>
      <c r="S295" s="73"/>
    </row>
    <row r="296" spans="1:19" ht="12.75">
      <c r="A296" s="73"/>
      <c r="B296" s="73"/>
      <c r="C296" s="73"/>
      <c r="D296" s="73"/>
      <c r="E296" s="73"/>
      <c r="F296" s="73"/>
      <c r="G296" s="73"/>
      <c r="H296" s="73"/>
      <c r="I296" s="73"/>
      <c r="J296" s="73"/>
      <c r="K296" s="73"/>
      <c r="L296" s="73"/>
      <c r="M296" s="73"/>
      <c r="N296" s="73"/>
      <c r="O296" s="73"/>
      <c r="P296" s="73"/>
      <c r="Q296" s="73"/>
      <c r="R296" s="73"/>
      <c r="S296" s="73"/>
    </row>
    <row r="297" spans="1:19" ht="12.75">
      <c r="A297" s="73"/>
      <c r="B297" s="73"/>
      <c r="C297" s="73"/>
      <c r="D297" s="73"/>
      <c r="E297" s="73"/>
      <c r="F297" s="73"/>
      <c r="G297" s="73"/>
      <c r="H297" s="73"/>
      <c r="I297" s="73"/>
      <c r="J297" s="73"/>
      <c r="K297" s="73"/>
      <c r="L297" s="73"/>
      <c r="M297" s="73"/>
      <c r="N297" s="73"/>
      <c r="O297" s="73"/>
      <c r="P297" s="73"/>
      <c r="Q297" s="73"/>
      <c r="R297" s="73"/>
      <c r="S297" s="73"/>
    </row>
    <row r="298" spans="1:19" ht="12.75">
      <c r="A298" s="73"/>
      <c r="B298" s="73"/>
      <c r="C298" s="73"/>
      <c r="D298" s="73"/>
      <c r="E298" s="73"/>
      <c r="F298" s="73"/>
      <c r="G298" s="73"/>
      <c r="H298" s="73"/>
      <c r="I298" s="73"/>
      <c r="J298" s="73"/>
      <c r="K298" s="73"/>
      <c r="L298" s="73"/>
      <c r="M298" s="73"/>
      <c r="N298" s="73"/>
      <c r="O298" s="73"/>
      <c r="P298" s="73"/>
      <c r="Q298" s="73"/>
      <c r="R298" s="73"/>
      <c r="S298" s="73"/>
    </row>
    <row r="299" spans="1:19" ht="12.75">
      <c r="A299" s="73"/>
      <c r="B299" s="73"/>
      <c r="C299" s="73"/>
      <c r="D299" s="73"/>
      <c r="E299" s="73"/>
      <c r="F299" s="73"/>
      <c r="G299" s="73"/>
      <c r="H299" s="73"/>
      <c r="I299" s="73"/>
      <c r="J299" s="73"/>
      <c r="K299" s="73"/>
      <c r="L299" s="73"/>
      <c r="M299" s="73"/>
      <c r="N299" s="73"/>
      <c r="O299" s="73"/>
      <c r="P299" s="73"/>
      <c r="Q299" s="73"/>
      <c r="R299" s="73"/>
      <c r="S299" s="73"/>
    </row>
    <row r="300" spans="1:19" ht="12.75">
      <c r="A300" s="73"/>
      <c r="B300" s="73"/>
      <c r="C300" s="73"/>
      <c r="D300" s="73"/>
      <c r="E300" s="73"/>
      <c r="F300" s="73"/>
      <c r="G300" s="73"/>
      <c r="H300" s="73"/>
      <c r="I300" s="73"/>
      <c r="J300" s="73"/>
      <c r="K300" s="73"/>
      <c r="L300" s="73"/>
      <c r="M300" s="73"/>
      <c r="N300" s="73"/>
      <c r="O300" s="73"/>
      <c r="P300" s="73"/>
      <c r="Q300" s="73"/>
      <c r="R300" s="73"/>
      <c r="S300" s="73"/>
    </row>
    <row r="301" spans="1:19" ht="12.75">
      <c r="A301" s="73"/>
      <c r="B301" s="73"/>
      <c r="C301" s="73"/>
      <c r="D301" s="73"/>
      <c r="E301" s="73"/>
      <c r="F301" s="73"/>
      <c r="G301" s="73"/>
      <c r="H301" s="73"/>
      <c r="I301" s="73"/>
      <c r="J301" s="73"/>
      <c r="K301" s="73"/>
      <c r="L301" s="73"/>
      <c r="M301" s="73"/>
      <c r="N301" s="73"/>
      <c r="O301" s="73"/>
      <c r="P301" s="73"/>
      <c r="Q301" s="73"/>
      <c r="R301" s="73"/>
      <c r="S301" s="73"/>
    </row>
    <row r="302" spans="1:19" ht="12.75">
      <c r="A302" s="73"/>
      <c r="B302" s="73"/>
      <c r="C302" s="73"/>
      <c r="D302" s="73"/>
      <c r="E302" s="73"/>
      <c r="F302" s="73"/>
      <c r="G302" s="73"/>
      <c r="H302" s="73"/>
      <c r="I302" s="73"/>
      <c r="J302" s="73"/>
      <c r="K302" s="73"/>
      <c r="L302" s="73"/>
      <c r="M302" s="73"/>
      <c r="N302" s="73"/>
      <c r="O302" s="73"/>
      <c r="P302" s="73"/>
      <c r="Q302" s="73"/>
      <c r="R302" s="73"/>
      <c r="S302" s="73"/>
    </row>
    <row r="303" spans="1:19" ht="12.75">
      <c r="A303" s="73"/>
      <c r="B303" s="73"/>
      <c r="C303" s="73"/>
      <c r="D303" s="73"/>
      <c r="E303" s="73"/>
      <c r="F303" s="73"/>
      <c r="G303" s="73"/>
      <c r="H303" s="73"/>
      <c r="I303" s="73"/>
      <c r="J303" s="73"/>
      <c r="K303" s="73"/>
      <c r="L303" s="73"/>
      <c r="M303" s="73"/>
      <c r="N303" s="73"/>
      <c r="O303" s="73"/>
      <c r="P303" s="73"/>
      <c r="Q303" s="73"/>
      <c r="R303" s="73"/>
      <c r="S303" s="73"/>
    </row>
    <row r="304" spans="1:19" ht="12.75">
      <c r="A304" s="73"/>
      <c r="B304" s="73"/>
      <c r="C304" s="73"/>
      <c r="D304" s="73"/>
      <c r="E304" s="73"/>
      <c r="F304" s="73"/>
      <c r="G304" s="73"/>
      <c r="H304" s="73"/>
      <c r="I304" s="73"/>
      <c r="J304" s="73"/>
      <c r="K304" s="73"/>
      <c r="L304" s="73"/>
      <c r="M304" s="73"/>
      <c r="N304" s="73"/>
      <c r="O304" s="73"/>
      <c r="P304" s="73"/>
      <c r="Q304" s="73"/>
      <c r="R304" s="73"/>
      <c r="S304" s="73"/>
    </row>
    <row r="305" spans="1:19" ht="12.75">
      <c r="A305" s="73"/>
      <c r="B305" s="73"/>
      <c r="C305" s="73"/>
      <c r="D305" s="73"/>
      <c r="E305" s="73"/>
      <c r="F305" s="73"/>
      <c r="G305" s="73"/>
      <c r="H305" s="73"/>
      <c r="I305" s="73"/>
      <c r="J305" s="73"/>
      <c r="K305" s="73"/>
      <c r="L305" s="73"/>
      <c r="M305" s="73"/>
      <c r="N305" s="73"/>
      <c r="O305" s="73"/>
      <c r="P305" s="73"/>
      <c r="Q305" s="73"/>
      <c r="R305" s="73"/>
      <c r="S305" s="73"/>
    </row>
    <row r="306" spans="1:19" ht="12.75">
      <c r="A306" s="73"/>
      <c r="B306" s="73"/>
      <c r="C306" s="73"/>
      <c r="D306" s="73"/>
      <c r="E306" s="73"/>
      <c r="F306" s="73"/>
      <c r="G306" s="73"/>
      <c r="H306" s="73"/>
      <c r="I306" s="73"/>
      <c r="J306" s="73"/>
      <c r="K306" s="73"/>
      <c r="L306" s="73"/>
      <c r="M306" s="73"/>
      <c r="N306" s="73"/>
      <c r="O306" s="73"/>
      <c r="P306" s="73"/>
      <c r="Q306" s="73"/>
      <c r="R306" s="73"/>
      <c r="S306" s="73"/>
    </row>
    <row r="307" spans="1:19" ht="12.75">
      <c r="A307" s="73"/>
      <c r="B307" s="73"/>
      <c r="C307" s="73"/>
      <c r="D307" s="73"/>
      <c r="E307" s="73"/>
      <c r="F307" s="73"/>
      <c r="G307" s="73"/>
      <c r="H307" s="73"/>
      <c r="I307" s="73"/>
      <c r="J307" s="73"/>
      <c r="K307" s="73"/>
      <c r="L307" s="73"/>
      <c r="M307" s="73"/>
      <c r="N307" s="73"/>
      <c r="O307" s="73"/>
      <c r="P307" s="73"/>
      <c r="Q307" s="73"/>
      <c r="R307" s="73"/>
      <c r="S307" s="73"/>
    </row>
    <row r="308" spans="1:19" ht="12.75">
      <c r="A308" s="73"/>
      <c r="B308" s="73"/>
      <c r="C308" s="73"/>
      <c r="D308" s="73"/>
      <c r="E308" s="73"/>
      <c r="F308" s="73"/>
      <c r="G308" s="73"/>
      <c r="H308" s="73"/>
      <c r="I308" s="73"/>
      <c r="J308" s="73"/>
      <c r="K308" s="73"/>
      <c r="L308" s="73"/>
      <c r="M308" s="73"/>
      <c r="N308" s="73"/>
      <c r="O308" s="73"/>
      <c r="P308" s="73"/>
      <c r="Q308" s="73"/>
      <c r="R308" s="73"/>
      <c r="S308" s="73"/>
    </row>
    <row r="309" spans="1:19" ht="12.75">
      <c r="A309" s="73"/>
      <c r="B309" s="73"/>
      <c r="C309" s="73"/>
      <c r="D309" s="73"/>
      <c r="E309" s="73"/>
      <c r="F309" s="73"/>
      <c r="G309" s="73"/>
      <c r="H309" s="73"/>
      <c r="I309" s="73"/>
      <c r="J309" s="73"/>
      <c r="K309" s="73"/>
      <c r="L309" s="73"/>
      <c r="M309" s="73"/>
      <c r="N309" s="73"/>
      <c r="O309" s="73"/>
      <c r="P309" s="73"/>
      <c r="Q309" s="73"/>
      <c r="R309" s="73"/>
      <c r="S309" s="73"/>
    </row>
    <row r="310" spans="1:19" ht="12.75">
      <c r="A310" s="73"/>
      <c r="B310" s="73"/>
      <c r="C310" s="73"/>
      <c r="D310" s="73"/>
      <c r="E310" s="73"/>
      <c r="F310" s="73"/>
      <c r="G310" s="73"/>
      <c r="H310" s="73"/>
      <c r="I310" s="73"/>
      <c r="J310" s="73"/>
      <c r="K310" s="73"/>
      <c r="L310" s="73"/>
      <c r="M310" s="73"/>
      <c r="N310" s="73"/>
      <c r="O310" s="73"/>
      <c r="P310" s="73"/>
      <c r="Q310" s="73"/>
      <c r="R310" s="73"/>
      <c r="S310" s="73"/>
    </row>
    <row r="311" spans="1:19" ht="12.75">
      <c r="A311" s="73"/>
      <c r="B311" s="73"/>
      <c r="C311" s="73"/>
      <c r="D311" s="73"/>
      <c r="E311" s="73"/>
      <c r="F311" s="73"/>
      <c r="G311" s="73"/>
      <c r="H311" s="73"/>
      <c r="I311" s="73"/>
      <c r="J311" s="73"/>
      <c r="K311" s="73"/>
      <c r="L311" s="73"/>
      <c r="M311" s="73"/>
      <c r="N311" s="73"/>
      <c r="O311" s="73"/>
      <c r="P311" s="73"/>
      <c r="Q311" s="73"/>
      <c r="R311" s="73"/>
      <c r="S311" s="73"/>
    </row>
    <row r="312" spans="1:19" ht="12.75">
      <c r="A312" s="73"/>
      <c r="B312" s="73"/>
      <c r="C312" s="73"/>
      <c r="D312" s="73"/>
      <c r="E312" s="73"/>
      <c r="F312" s="73"/>
      <c r="G312" s="73"/>
      <c r="H312" s="73"/>
      <c r="I312" s="73"/>
      <c r="J312" s="73"/>
      <c r="K312" s="73"/>
      <c r="L312" s="73"/>
      <c r="M312" s="73"/>
      <c r="N312" s="73"/>
      <c r="O312" s="73"/>
      <c r="P312" s="73"/>
      <c r="Q312" s="73"/>
      <c r="R312" s="73"/>
      <c r="S312" s="73"/>
    </row>
  </sheetData>
  <mergeCells count="35">
    <mergeCell ref="B57:I57"/>
    <mergeCell ref="L57:S57"/>
    <mergeCell ref="K67:S67"/>
    <mergeCell ref="A67:I67"/>
    <mergeCell ref="L40:S40"/>
    <mergeCell ref="K50:S50"/>
    <mergeCell ref="A50:I50"/>
    <mergeCell ref="B40:I40"/>
    <mergeCell ref="A14:I14"/>
    <mergeCell ref="K14:S14"/>
    <mergeCell ref="K33:S33"/>
    <mergeCell ref="A33:I33"/>
    <mergeCell ref="A16:I16"/>
    <mergeCell ref="P17:S17"/>
    <mergeCell ref="F17:I17"/>
    <mergeCell ref="A37:I37"/>
    <mergeCell ref="K37:S37"/>
    <mergeCell ref="A1:I1"/>
    <mergeCell ref="K1:S1"/>
    <mergeCell ref="A20:I20"/>
    <mergeCell ref="K20:S20"/>
    <mergeCell ref="B4:I4"/>
    <mergeCell ref="L4:S4"/>
    <mergeCell ref="L23:S23"/>
    <mergeCell ref="B23:I23"/>
    <mergeCell ref="A55:I55"/>
    <mergeCell ref="K55:S55"/>
    <mergeCell ref="A18:E18"/>
    <mergeCell ref="K18:O18"/>
    <mergeCell ref="A38:I38"/>
    <mergeCell ref="K38:S38"/>
    <mergeCell ref="A54:I54"/>
    <mergeCell ref="K54:S54"/>
    <mergeCell ref="A21:I21"/>
    <mergeCell ref="K21:S21"/>
  </mergeCells>
  <printOptions/>
  <pageMargins left="0.48" right="0.38" top="1" bottom="1" header="0.5" footer="0.5"/>
  <pageSetup fitToHeight="1" fitToWidth="1" horizontalDpi="600" verticalDpi="600" orientation="portrait" paperSize="9" scale="78"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3:J29"/>
  <sheetViews>
    <sheetView zoomScale="75" zoomScaleNormal="75" workbookViewId="0" topLeftCell="A1">
      <selection activeCell="H35" sqref="H35"/>
    </sheetView>
  </sheetViews>
  <sheetFormatPr defaultColWidth="9.140625" defaultRowHeight="12.75"/>
  <cols>
    <col min="1" max="1" width="33.28125" style="1" customWidth="1"/>
    <col min="2" max="2" width="15.00390625" style="2" bestFit="1" customWidth="1"/>
    <col min="3" max="3" width="13.421875" style="3" customWidth="1"/>
    <col min="4" max="4" width="12.140625" style="2" bestFit="1" customWidth="1"/>
    <col min="5" max="5" width="15.00390625" style="2" bestFit="1" customWidth="1"/>
    <col min="6" max="6" width="13.421875" style="3" bestFit="1" customWidth="1"/>
    <col min="7" max="7" width="12.140625" style="2" bestFit="1" customWidth="1"/>
    <col min="8" max="8" width="15.00390625" style="1" bestFit="1" customWidth="1"/>
    <col min="9" max="9" width="13.421875" style="1" bestFit="1" customWidth="1"/>
    <col min="10" max="10" width="12.140625" style="1" bestFit="1" customWidth="1"/>
    <col min="11" max="16384" width="9.140625" style="1" customWidth="1"/>
  </cols>
  <sheetData>
    <row r="3" spans="1:10" ht="13.5" customHeight="1">
      <c r="A3" s="234" t="s">
        <v>7</v>
      </c>
      <c r="B3" s="234"/>
      <c r="C3" s="234"/>
      <c r="D3" s="234"/>
      <c r="E3" s="234"/>
      <c r="F3" s="234"/>
      <c r="G3" s="234"/>
      <c r="H3" s="234"/>
      <c r="I3" s="234"/>
      <c r="J3" s="234"/>
    </row>
    <row r="4" spans="1:10" ht="13.5" customHeight="1" thickBot="1">
      <c r="A4" s="237" t="s">
        <v>127</v>
      </c>
      <c r="B4" s="237"/>
      <c r="C4" s="237"/>
      <c r="D4" s="237"/>
      <c r="E4" s="237"/>
      <c r="F4" s="237"/>
      <c r="G4" s="237"/>
      <c r="H4" s="237"/>
      <c r="I4" s="237"/>
      <c r="J4" s="237"/>
    </row>
    <row r="5" spans="1:10" ht="12.75" thickBot="1">
      <c r="A5" s="209" t="s">
        <v>2</v>
      </c>
      <c r="B5" s="211" t="s">
        <v>55</v>
      </c>
      <c r="C5" s="212"/>
      <c r="D5" s="213"/>
      <c r="E5" s="211" t="s">
        <v>176</v>
      </c>
      <c r="F5" s="212"/>
      <c r="G5" s="213"/>
      <c r="H5" s="211" t="s">
        <v>70</v>
      </c>
      <c r="I5" s="212"/>
      <c r="J5" s="213"/>
    </row>
    <row r="6" spans="1:10" ht="12.75" thickBot="1">
      <c r="A6" s="238"/>
      <c r="B6" s="4" t="s">
        <v>3</v>
      </c>
      <c r="C6" s="5" t="s">
        <v>4</v>
      </c>
      <c r="D6" s="6" t="s">
        <v>5</v>
      </c>
      <c r="E6" s="4" t="s">
        <v>3</v>
      </c>
      <c r="F6" s="5" t="s">
        <v>4</v>
      </c>
      <c r="G6" s="6" t="s">
        <v>5</v>
      </c>
      <c r="H6" s="4" t="s">
        <v>3</v>
      </c>
      <c r="I6" s="5" t="s">
        <v>4</v>
      </c>
      <c r="J6" s="6" t="s">
        <v>5</v>
      </c>
    </row>
    <row r="7" spans="1:10" ht="12">
      <c r="A7" s="14" t="s">
        <v>158</v>
      </c>
      <c r="B7" s="19">
        <v>3000</v>
      </c>
      <c r="C7" s="9">
        <v>1</v>
      </c>
      <c r="D7" s="20">
        <f aca="true" t="shared" si="0" ref="D7:D12">+B7*C7</f>
        <v>3000</v>
      </c>
      <c r="E7" s="19">
        <f>+B7</f>
        <v>3000</v>
      </c>
      <c r="F7" s="9">
        <f>+C7</f>
        <v>1</v>
      </c>
      <c r="G7" s="20">
        <f>+E7*F7</f>
        <v>3000</v>
      </c>
      <c r="H7" s="19">
        <f>+E7</f>
        <v>3000</v>
      </c>
      <c r="I7" s="9">
        <f>+F7</f>
        <v>1</v>
      </c>
      <c r="J7" s="20">
        <f>+H7*I7</f>
        <v>3000</v>
      </c>
    </row>
    <row r="8" spans="1:10" ht="12">
      <c r="A8" s="14" t="s">
        <v>47</v>
      </c>
      <c r="B8" s="19">
        <v>0</v>
      </c>
      <c r="C8" s="9">
        <v>1</v>
      </c>
      <c r="D8" s="20">
        <f t="shared" si="0"/>
        <v>0</v>
      </c>
      <c r="E8" s="19">
        <f>+B8</f>
        <v>0</v>
      </c>
      <c r="F8" s="9">
        <f>+C8</f>
        <v>1</v>
      </c>
      <c r="G8" s="20">
        <f>+E8*F8</f>
        <v>0</v>
      </c>
      <c r="H8" s="19">
        <f>+E8</f>
        <v>0</v>
      </c>
      <c r="I8" s="9">
        <f>+F8</f>
        <v>1</v>
      </c>
      <c r="J8" s="20">
        <f>+H8*I8</f>
        <v>0</v>
      </c>
    </row>
    <row r="9" spans="1:10" ht="12">
      <c r="A9" s="14" t="s">
        <v>43</v>
      </c>
      <c r="B9" s="19">
        <v>1000</v>
      </c>
      <c r="C9" s="9">
        <v>50</v>
      </c>
      <c r="D9" s="20">
        <f t="shared" si="0"/>
        <v>50000</v>
      </c>
      <c r="E9" s="19">
        <f aca="true" t="shared" si="1" ref="E9:E20">+B9</f>
        <v>1000</v>
      </c>
      <c r="F9" s="9">
        <f aca="true" t="shared" si="2" ref="F9:F20">+C9</f>
        <v>50</v>
      </c>
      <c r="G9" s="20">
        <f aca="true" t="shared" si="3" ref="G9:G23">+E9*F9</f>
        <v>50000</v>
      </c>
      <c r="H9" s="19">
        <f aca="true" t="shared" si="4" ref="H9:H20">+E9</f>
        <v>1000</v>
      </c>
      <c r="I9" s="9">
        <f aca="true" t="shared" si="5" ref="I9:I20">+F9</f>
        <v>50</v>
      </c>
      <c r="J9" s="20">
        <f aca="true" t="shared" si="6" ref="J9:J23">+H9*I9</f>
        <v>50000</v>
      </c>
    </row>
    <row r="10" spans="1:10" ht="12">
      <c r="A10" s="14" t="s">
        <v>82</v>
      </c>
      <c r="B10" s="19">
        <v>7</v>
      </c>
      <c r="C10" s="9">
        <f>150*5</f>
        <v>750</v>
      </c>
      <c r="D10" s="20">
        <f t="shared" si="0"/>
        <v>5250</v>
      </c>
      <c r="E10" s="19">
        <f t="shared" si="1"/>
        <v>7</v>
      </c>
      <c r="F10" s="9">
        <f t="shared" si="2"/>
        <v>750</v>
      </c>
      <c r="G10" s="20">
        <f t="shared" si="3"/>
        <v>5250</v>
      </c>
      <c r="H10" s="19">
        <f t="shared" si="4"/>
        <v>7</v>
      </c>
      <c r="I10" s="9">
        <f t="shared" si="5"/>
        <v>750</v>
      </c>
      <c r="J10" s="20">
        <f t="shared" si="6"/>
        <v>5250</v>
      </c>
    </row>
    <row r="11" spans="1:10" ht="12">
      <c r="A11" s="14" t="s">
        <v>83</v>
      </c>
      <c r="B11" s="19"/>
      <c r="C11" s="9"/>
      <c r="D11" s="20">
        <f t="shared" si="0"/>
        <v>0</v>
      </c>
      <c r="E11" s="19">
        <f t="shared" si="1"/>
        <v>0</v>
      </c>
      <c r="F11" s="9">
        <f t="shared" si="2"/>
        <v>0</v>
      </c>
      <c r="G11" s="20">
        <f t="shared" si="3"/>
        <v>0</v>
      </c>
      <c r="H11" s="19">
        <f t="shared" si="4"/>
        <v>0</v>
      </c>
      <c r="I11" s="9">
        <f t="shared" si="5"/>
        <v>0</v>
      </c>
      <c r="J11" s="20">
        <f t="shared" si="6"/>
        <v>0</v>
      </c>
    </row>
    <row r="12" spans="1:10" ht="12">
      <c r="A12" s="14" t="s">
        <v>168</v>
      </c>
      <c r="B12" s="19">
        <v>500</v>
      </c>
      <c r="C12" s="9">
        <v>1</v>
      </c>
      <c r="D12" s="20">
        <f t="shared" si="0"/>
        <v>500</v>
      </c>
      <c r="E12" s="19">
        <f t="shared" si="1"/>
        <v>500</v>
      </c>
      <c r="F12" s="9">
        <f t="shared" si="2"/>
        <v>1</v>
      </c>
      <c r="G12" s="20">
        <f t="shared" si="3"/>
        <v>500</v>
      </c>
      <c r="H12" s="19">
        <f t="shared" si="4"/>
        <v>500</v>
      </c>
      <c r="I12" s="9">
        <f t="shared" si="5"/>
        <v>1</v>
      </c>
      <c r="J12" s="20">
        <f t="shared" si="6"/>
        <v>500</v>
      </c>
    </row>
    <row r="13" spans="1:10" ht="12">
      <c r="A13" s="14" t="s">
        <v>26</v>
      </c>
      <c r="B13" s="19"/>
      <c r="C13" s="9"/>
      <c r="D13" s="20"/>
      <c r="E13" s="19">
        <f t="shared" si="1"/>
        <v>0</v>
      </c>
      <c r="F13" s="9">
        <f t="shared" si="2"/>
        <v>0</v>
      </c>
      <c r="G13" s="20">
        <f t="shared" si="3"/>
        <v>0</v>
      </c>
      <c r="H13" s="19">
        <f t="shared" si="4"/>
        <v>0</v>
      </c>
      <c r="I13" s="9">
        <f t="shared" si="5"/>
        <v>0</v>
      </c>
      <c r="J13" s="20">
        <f t="shared" si="6"/>
        <v>0</v>
      </c>
    </row>
    <row r="14" spans="1:10" ht="12">
      <c r="A14" s="14" t="s">
        <v>44</v>
      </c>
      <c r="B14" s="19"/>
      <c r="C14" s="9"/>
      <c r="D14" s="20"/>
      <c r="E14" s="19">
        <f t="shared" si="1"/>
        <v>0</v>
      </c>
      <c r="F14" s="9">
        <f t="shared" si="2"/>
        <v>0</v>
      </c>
      <c r="G14" s="20">
        <f t="shared" si="3"/>
        <v>0</v>
      </c>
      <c r="H14" s="19">
        <f t="shared" si="4"/>
        <v>0</v>
      </c>
      <c r="I14" s="9">
        <f t="shared" si="5"/>
        <v>0</v>
      </c>
      <c r="J14" s="20">
        <f t="shared" si="6"/>
        <v>0</v>
      </c>
    </row>
    <row r="15" spans="1:10" ht="12">
      <c r="A15" s="14" t="s">
        <v>45</v>
      </c>
      <c r="B15" s="19"/>
      <c r="C15" s="9"/>
      <c r="D15" s="20"/>
      <c r="E15" s="19">
        <f t="shared" si="1"/>
        <v>0</v>
      </c>
      <c r="F15" s="9">
        <f t="shared" si="2"/>
        <v>0</v>
      </c>
      <c r="G15" s="20">
        <f t="shared" si="3"/>
        <v>0</v>
      </c>
      <c r="H15" s="19">
        <f t="shared" si="4"/>
        <v>0</v>
      </c>
      <c r="I15" s="9">
        <f t="shared" si="5"/>
        <v>0</v>
      </c>
      <c r="J15" s="20">
        <f t="shared" si="6"/>
        <v>0</v>
      </c>
    </row>
    <row r="16" spans="1:10" ht="12">
      <c r="A16" s="14" t="s">
        <v>84</v>
      </c>
      <c r="B16" s="19"/>
      <c r="C16" s="9"/>
      <c r="D16" s="20"/>
      <c r="E16" s="19">
        <f t="shared" si="1"/>
        <v>0</v>
      </c>
      <c r="F16" s="9">
        <f t="shared" si="2"/>
        <v>0</v>
      </c>
      <c r="G16" s="20">
        <f t="shared" si="3"/>
        <v>0</v>
      </c>
      <c r="H16" s="19">
        <f t="shared" si="4"/>
        <v>0</v>
      </c>
      <c r="I16" s="9">
        <f t="shared" si="5"/>
        <v>0</v>
      </c>
      <c r="J16" s="20">
        <f t="shared" si="6"/>
        <v>0</v>
      </c>
    </row>
    <row r="17" spans="1:10" ht="12">
      <c r="A17" s="14" t="s">
        <v>11</v>
      </c>
      <c r="B17" s="19"/>
      <c r="C17" s="9"/>
      <c r="D17" s="20"/>
      <c r="E17" s="19">
        <f t="shared" si="1"/>
        <v>0</v>
      </c>
      <c r="F17" s="9">
        <f t="shared" si="2"/>
        <v>0</v>
      </c>
      <c r="G17" s="20">
        <f t="shared" si="3"/>
        <v>0</v>
      </c>
      <c r="H17" s="19">
        <f t="shared" si="4"/>
        <v>0</v>
      </c>
      <c r="I17" s="9">
        <f t="shared" si="5"/>
        <v>0</v>
      </c>
      <c r="J17" s="20">
        <f t="shared" si="6"/>
        <v>0</v>
      </c>
    </row>
    <row r="18" spans="1:10" ht="12">
      <c r="A18" s="14" t="s">
        <v>159</v>
      </c>
      <c r="B18" s="19"/>
      <c r="C18" s="9"/>
      <c r="D18" s="20"/>
      <c r="E18" s="19">
        <f t="shared" si="1"/>
        <v>0</v>
      </c>
      <c r="F18" s="9">
        <f t="shared" si="2"/>
        <v>0</v>
      </c>
      <c r="G18" s="20">
        <f t="shared" si="3"/>
        <v>0</v>
      </c>
      <c r="H18" s="19">
        <f t="shared" si="4"/>
        <v>0</v>
      </c>
      <c r="I18" s="9">
        <f t="shared" si="5"/>
        <v>0</v>
      </c>
      <c r="J18" s="20">
        <f t="shared" si="6"/>
        <v>0</v>
      </c>
    </row>
    <row r="19" spans="1:10" ht="12">
      <c r="A19" s="14" t="s">
        <v>160</v>
      </c>
      <c r="B19" s="19"/>
      <c r="C19" s="9"/>
      <c r="D19" s="20"/>
      <c r="E19" s="19">
        <f t="shared" si="1"/>
        <v>0</v>
      </c>
      <c r="F19" s="9">
        <f t="shared" si="2"/>
        <v>0</v>
      </c>
      <c r="G19" s="20">
        <f t="shared" si="3"/>
        <v>0</v>
      </c>
      <c r="H19" s="19">
        <f t="shared" si="4"/>
        <v>0</v>
      </c>
      <c r="I19" s="9">
        <f t="shared" si="5"/>
        <v>0</v>
      </c>
      <c r="J19" s="20">
        <f t="shared" si="6"/>
        <v>0</v>
      </c>
    </row>
    <row r="20" spans="1:10" ht="12">
      <c r="A20" s="14" t="s">
        <v>161</v>
      </c>
      <c r="B20" s="19"/>
      <c r="C20" s="9"/>
      <c r="D20" s="20"/>
      <c r="E20" s="19">
        <f t="shared" si="1"/>
        <v>0</v>
      </c>
      <c r="F20" s="9">
        <f t="shared" si="2"/>
        <v>0</v>
      </c>
      <c r="G20" s="20">
        <f t="shared" si="3"/>
        <v>0</v>
      </c>
      <c r="H20" s="19">
        <f t="shared" si="4"/>
        <v>0</v>
      </c>
      <c r="I20" s="9">
        <f t="shared" si="5"/>
        <v>0</v>
      </c>
      <c r="J20" s="20">
        <f t="shared" si="6"/>
        <v>0</v>
      </c>
    </row>
    <row r="21" spans="1:10" ht="12">
      <c r="A21" s="14" t="s">
        <v>85</v>
      </c>
      <c r="B21" s="19"/>
      <c r="C21" s="9"/>
      <c r="D21" s="20"/>
      <c r="E21" s="19">
        <v>1000</v>
      </c>
      <c r="F21" s="9">
        <v>1</v>
      </c>
      <c r="G21" s="20">
        <f t="shared" si="3"/>
        <v>1000</v>
      </c>
      <c r="H21" s="19">
        <v>1000</v>
      </c>
      <c r="I21" s="9">
        <v>1</v>
      </c>
      <c r="J21" s="20">
        <f t="shared" si="6"/>
        <v>1000</v>
      </c>
    </row>
    <row r="22" spans="1:10" ht="12">
      <c r="A22" s="14" t="s">
        <v>86</v>
      </c>
      <c r="B22" s="19"/>
      <c r="C22" s="9"/>
      <c r="D22" s="20"/>
      <c r="E22" s="19">
        <v>1000</v>
      </c>
      <c r="F22" s="9">
        <v>1</v>
      </c>
      <c r="G22" s="20">
        <f t="shared" si="3"/>
        <v>1000</v>
      </c>
      <c r="H22" s="19">
        <v>1000</v>
      </c>
      <c r="I22" s="9">
        <v>1</v>
      </c>
      <c r="J22" s="20">
        <f t="shared" si="6"/>
        <v>1000</v>
      </c>
    </row>
    <row r="23" spans="1:10" ht="12">
      <c r="A23" s="14" t="s">
        <v>87</v>
      </c>
      <c r="B23" s="19"/>
      <c r="C23" s="9"/>
      <c r="D23" s="20"/>
      <c r="E23" s="19">
        <v>1000</v>
      </c>
      <c r="F23" s="9">
        <v>1</v>
      </c>
      <c r="G23" s="20">
        <f t="shared" si="3"/>
        <v>1000</v>
      </c>
      <c r="H23" s="19">
        <v>1000</v>
      </c>
      <c r="I23" s="9">
        <v>1</v>
      </c>
      <c r="J23" s="20">
        <f t="shared" si="6"/>
        <v>1000</v>
      </c>
    </row>
    <row r="24" spans="1:10" ht="12">
      <c r="A24" s="14"/>
      <c r="B24" s="19"/>
      <c r="C24" s="9"/>
      <c r="D24" s="10"/>
      <c r="E24" s="8"/>
      <c r="F24" s="9"/>
      <c r="G24" s="10"/>
      <c r="H24" s="8"/>
      <c r="I24" s="9"/>
      <c r="J24" s="10"/>
    </row>
    <row r="25" spans="1:10" ht="12">
      <c r="A25" s="14"/>
      <c r="B25" s="8"/>
      <c r="C25" s="9"/>
      <c r="D25" s="10"/>
      <c r="E25" s="8"/>
      <c r="F25" s="9"/>
      <c r="G25" s="10"/>
      <c r="H25" s="8"/>
      <c r="I25" s="9"/>
      <c r="J25" s="10"/>
    </row>
    <row r="26" spans="1:10" ht="12.75" thickBot="1">
      <c r="A26" s="162" t="s">
        <v>169</v>
      </c>
      <c r="B26" s="163"/>
      <c r="C26" s="164"/>
      <c r="D26" s="165">
        <f>SUM(D7:D25)</f>
        <v>58750</v>
      </c>
      <c r="E26" s="163"/>
      <c r="F26" s="164"/>
      <c r="G26" s="165">
        <f>SUM(G7:G25)</f>
        <v>61750</v>
      </c>
      <c r="H26" s="163"/>
      <c r="I26" s="164"/>
      <c r="J26" s="165">
        <f>SUM(J7:J25)</f>
        <v>61750</v>
      </c>
    </row>
    <row r="27" spans="1:10" ht="13.5" thickBot="1" thickTop="1">
      <c r="A27" s="113"/>
      <c r="B27" s="114"/>
      <c r="C27" s="159"/>
      <c r="D27" s="160"/>
      <c r="E27" s="161"/>
      <c r="F27" s="159"/>
      <c r="G27" s="160"/>
      <c r="H27" s="161"/>
      <c r="I27" s="159"/>
      <c r="J27" s="160"/>
    </row>
    <row r="28" spans="1:10" ht="13.5" customHeight="1" thickBot="1">
      <c r="A28" s="235" t="s">
        <v>174</v>
      </c>
      <c r="B28" s="236"/>
      <c r="C28" s="239">
        <f>+D26/150</f>
        <v>391.6666666666667</v>
      </c>
      <c r="D28" s="233"/>
      <c r="E28" s="231">
        <f>+G26/100</f>
        <v>617.5</v>
      </c>
      <c r="F28" s="232"/>
      <c r="G28" s="233"/>
      <c r="H28" s="231">
        <f>+J26/100</f>
        <v>617.5</v>
      </c>
      <c r="I28" s="232"/>
      <c r="J28" s="233"/>
    </row>
    <row r="29" spans="1:10" ht="13.5" customHeight="1" thickBot="1">
      <c r="A29" s="235" t="s">
        <v>175</v>
      </c>
      <c r="B29" s="236"/>
      <c r="C29" s="239">
        <f>C28/3*4</f>
        <v>522.2222222222223</v>
      </c>
      <c r="D29" s="233"/>
      <c r="E29" s="231">
        <f>E28/3*4</f>
        <v>823.3333333333334</v>
      </c>
      <c r="F29" s="232"/>
      <c r="G29" s="233"/>
      <c r="H29" s="231">
        <f>H28/3*4</f>
        <v>823.3333333333334</v>
      </c>
      <c r="I29" s="232"/>
      <c r="J29" s="233"/>
    </row>
  </sheetData>
  <mergeCells count="14">
    <mergeCell ref="A3:J3"/>
    <mergeCell ref="A28:B28"/>
    <mergeCell ref="A29:B29"/>
    <mergeCell ref="H5:J5"/>
    <mergeCell ref="A4:J4"/>
    <mergeCell ref="A5:A6"/>
    <mergeCell ref="E5:G5"/>
    <mergeCell ref="B5:D5"/>
    <mergeCell ref="C28:D28"/>
    <mergeCell ref="C29:D29"/>
    <mergeCell ref="E28:G28"/>
    <mergeCell ref="E29:G29"/>
    <mergeCell ref="H28:J28"/>
    <mergeCell ref="H29:J29"/>
  </mergeCells>
  <printOptions/>
  <pageMargins left="0.75" right="0.75" top="1" bottom="1" header="0.5" footer="0.5"/>
  <pageSetup horizontalDpi="300" verticalDpi="300" orientation="landscape" scale="7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51"/>
  <sheetViews>
    <sheetView zoomScale="75" zoomScaleNormal="75" workbookViewId="0" topLeftCell="A1">
      <selection activeCell="H17" sqref="H17:H18"/>
    </sheetView>
  </sheetViews>
  <sheetFormatPr defaultColWidth="9.140625" defaultRowHeight="12.75"/>
  <cols>
    <col min="1" max="1" width="15.7109375" style="73" customWidth="1"/>
    <col min="2" max="3" width="13.28125" style="73" customWidth="1"/>
    <col min="4" max="4" width="9.7109375" style="73" customWidth="1"/>
    <col min="5" max="8" width="14.28125" style="73" customWidth="1"/>
    <col min="9" max="9" width="17.28125" style="73" bestFit="1" customWidth="1"/>
    <col min="10" max="10" width="2.57421875" style="73" customWidth="1"/>
    <col min="11" max="11" width="15.7109375" style="73" customWidth="1"/>
    <col min="12" max="13" width="13.28125" style="73" customWidth="1"/>
    <col min="14" max="14" width="8.7109375" style="73" customWidth="1"/>
    <col min="15" max="19" width="14.28125" style="73" customWidth="1"/>
    <col min="20" max="16384" width="9.140625" style="73" customWidth="1"/>
  </cols>
  <sheetData>
    <row r="1" spans="1:19" ht="12">
      <c r="A1" s="190" t="s">
        <v>128</v>
      </c>
      <c r="B1" s="190"/>
      <c r="C1" s="190"/>
      <c r="D1" s="190"/>
      <c r="E1" s="190"/>
      <c r="F1" s="190"/>
      <c r="G1" s="190"/>
      <c r="H1" s="190"/>
      <c r="I1" s="190"/>
      <c r="K1" s="192" t="s">
        <v>155</v>
      </c>
      <c r="L1" s="192"/>
      <c r="M1" s="192"/>
      <c r="N1" s="192"/>
      <c r="O1" s="192"/>
      <c r="P1" s="192"/>
      <c r="Q1" s="192"/>
      <c r="R1" s="192"/>
      <c r="S1" s="192"/>
    </row>
    <row r="2" spans="11:19" ht="12.75" thickBot="1">
      <c r="K2" s="77"/>
      <c r="L2" s="77"/>
      <c r="M2" s="77"/>
      <c r="N2" s="77"/>
      <c r="O2" s="77"/>
      <c r="P2" s="77"/>
      <c r="Q2" s="77"/>
      <c r="R2" s="77"/>
      <c r="S2" s="77"/>
    </row>
    <row r="3" spans="1:19" ht="24.75" thickBot="1">
      <c r="A3" s="167"/>
      <c r="B3" s="168" t="s">
        <v>129</v>
      </c>
      <c r="C3" s="168" t="s">
        <v>145</v>
      </c>
      <c r="D3" s="168" t="s">
        <v>131</v>
      </c>
      <c r="E3" s="168" t="s">
        <v>199</v>
      </c>
      <c r="F3" s="168" t="s">
        <v>192</v>
      </c>
      <c r="G3" s="168" t="s">
        <v>193</v>
      </c>
      <c r="H3" s="168" t="s">
        <v>194</v>
      </c>
      <c r="I3" s="169" t="s">
        <v>195</v>
      </c>
      <c r="J3" s="81"/>
      <c r="K3" s="167"/>
      <c r="L3" s="168" t="s">
        <v>129</v>
      </c>
      <c r="M3" s="168" t="s">
        <v>130</v>
      </c>
      <c r="N3" s="168"/>
      <c r="O3" s="168" t="s">
        <v>191</v>
      </c>
      <c r="P3" s="168" t="s">
        <v>192</v>
      </c>
      <c r="Q3" s="168" t="s">
        <v>193</v>
      </c>
      <c r="R3" s="168" t="s">
        <v>194</v>
      </c>
      <c r="S3" s="169" t="s">
        <v>195</v>
      </c>
    </row>
    <row r="4" spans="1:19" ht="12">
      <c r="A4" s="166" t="s">
        <v>137</v>
      </c>
      <c r="B4" s="248"/>
      <c r="C4" s="249"/>
      <c r="D4" s="249"/>
      <c r="E4" s="249"/>
      <c r="F4" s="249"/>
      <c r="G4" s="249"/>
      <c r="H4" s="249"/>
      <c r="I4" s="250"/>
      <c r="J4" s="85"/>
      <c r="K4" s="166" t="s">
        <v>137</v>
      </c>
      <c r="L4" s="248"/>
      <c r="M4" s="249"/>
      <c r="N4" s="249"/>
      <c r="O4" s="249"/>
      <c r="P4" s="249"/>
      <c r="Q4" s="249"/>
      <c r="R4" s="249"/>
      <c r="S4" s="250"/>
    </row>
    <row r="5" spans="1:19" ht="12">
      <c r="A5" s="86" t="s">
        <v>95</v>
      </c>
      <c r="B5" s="87">
        <v>531276</v>
      </c>
      <c r="C5" s="87">
        <v>591095</v>
      </c>
      <c r="D5" s="88">
        <f>+(C5-B5)/B5</f>
        <v>0.11259496005842537</v>
      </c>
      <c r="E5" s="87">
        <f>+C5*(1+(D5*4/5))</f>
        <v>644338.4543325879</v>
      </c>
      <c r="F5" s="87">
        <f aca="true" t="shared" si="0" ref="F5:I13">+E5*(1+($D5/5))</f>
        <v>658848.3068385249</v>
      </c>
      <c r="G5" s="87">
        <f t="shared" si="0"/>
        <v>673684.9065971338</v>
      </c>
      <c r="H5" s="87">
        <f t="shared" si="0"/>
        <v>688855.6116271875</v>
      </c>
      <c r="I5" s="89">
        <f t="shared" si="0"/>
        <v>704367.9456426245</v>
      </c>
      <c r="J5" s="90"/>
      <c r="K5" s="86" t="s">
        <v>95</v>
      </c>
      <c r="L5" s="87">
        <f>+B5*0.8699</f>
        <v>462156.9924</v>
      </c>
      <c r="M5" s="87">
        <f>+C5*0.8699</f>
        <v>514193.5405</v>
      </c>
      <c r="N5" s="88"/>
      <c r="O5" s="87">
        <f>+E5*0.8699</f>
        <v>560510.0214239182</v>
      </c>
      <c r="P5" s="87">
        <f>+F5*0.8699</f>
        <v>573132.1421188328</v>
      </c>
      <c r="Q5" s="87">
        <f>+G5*0.8699</f>
        <v>586038.5002488467</v>
      </c>
      <c r="R5" s="87">
        <f>+H5*0.8699</f>
        <v>599235.4965544904</v>
      </c>
      <c r="S5" s="89">
        <f>+I5*0.8699</f>
        <v>612729.6759145191</v>
      </c>
    </row>
    <row r="6" spans="1:19" ht="12">
      <c r="A6" s="86" t="s">
        <v>101</v>
      </c>
      <c r="B6" s="87">
        <v>178432</v>
      </c>
      <c r="C6" s="87">
        <v>197785</v>
      </c>
      <c r="D6" s="88">
        <f aca="true" t="shared" si="1" ref="D6:D13">+(C6-B6)/B6</f>
        <v>0.10846148672883787</v>
      </c>
      <c r="E6" s="87">
        <f aca="true" t="shared" si="2" ref="E6:E13">+C6*(1+(D6*4/5))</f>
        <v>214946.64412213053</v>
      </c>
      <c r="F6" s="87">
        <f t="shared" si="0"/>
        <v>219609.33063990268</v>
      </c>
      <c r="G6" s="87">
        <f t="shared" si="0"/>
        <v>224373.16154004843</v>
      </c>
      <c r="H6" s="87">
        <f t="shared" si="0"/>
        <v>229240.3308765851</v>
      </c>
      <c r="I6" s="89">
        <f t="shared" si="0"/>
        <v>234213.08029760214</v>
      </c>
      <c r="J6" s="90"/>
      <c r="K6" s="86" t="s">
        <v>101</v>
      </c>
      <c r="L6" s="87">
        <f aca="true" t="shared" si="3" ref="L6:M13">+B6*0.8699</f>
        <v>155217.9968</v>
      </c>
      <c r="M6" s="87">
        <f t="shared" si="3"/>
        <v>172053.1715</v>
      </c>
      <c r="N6" s="88"/>
      <c r="O6" s="87">
        <f aca="true" t="shared" si="4" ref="O6:O15">+E6*0.8699</f>
        <v>186982.08572184134</v>
      </c>
      <c r="P6" s="87">
        <f aca="true" t="shared" si="5" ref="P6:S13">+F6*0.8699</f>
        <v>191038.15672365134</v>
      </c>
      <c r="Q6" s="87">
        <f t="shared" si="5"/>
        <v>195182.21322368813</v>
      </c>
      <c r="R6" s="87">
        <f t="shared" si="5"/>
        <v>199416.1638295414</v>
      </c>
      <c r="S6" s="89">
        <f t="shared" si="5"/>
        <v>203741.9585508841</v>
      </c>
    </row>
    <row r="7" spans="1:19" ht="12">
      <c r="A7" s="86" t="s">
        <v>93</v>
      </c>
      <c r="B7" s="87">
        <v>456847</v>
      </c>
      <c r="C7" s="87">
        <v>544524</v>
      </c>
      <c r="D7" s="88">
        <f t="shared" si="1"/>
        <v>0.19191764420035592</v>
      </c>
      <c r="E7" s="87">
        <f t="shared" si="2"/>
        <v>628127.0106324437</v>
      </c>
      <c r="F7" s="87">
        <f t="shared" si="0"/>
        <v>652236.7418602818</v>
      </c>
      <c r="G7" s="87">
        <f t="shared" si="0"/>
        <v>677271.88965203</v>
      </c>
      <c r="H7" s="87">
        <f t="shared" si="0"/>
        <v>703267.9747610581</v>
      </c>
      <c r="I7" s="89">
        <f t="shared" si="0"/>
        <v>730261.8813525976</v>
      </c>
      <c r="J7" s="90"/>
      <c r="K7" s="86" t="s">
        <v>93</v>
      </c>
      <c r="L7" s="87">
        <f t="shared" si="3"/>
        <v>397411.20530000003</v>
      </c>
      <c r="M7" s="87">
        <f t="shared" si="3"/>
        <v>473681.4276</v>
      </c>
      <c r="N7" s="88"/>
      <c r="O7" s="87">
        <f t="shared" si="4"/>
        <v>546407.6865491628</v>
      </c>
      <c r="P7" s="87">
        <f t="shared" si="5"/>
        <v>567380.7417442591</v>
      </c>
      <c r="Q7" s="87">
        <f t="shared" si="5"/>
        <v>589158.8168083009</v>
      </c>
      <c r="R7" s="87">
        <f t="shared" si="5"/>
        <v>611772.8112446445</v>
      </c>
      <c r="S7" s="89">
        <f t="shared" si="5"/>
        <v>635254.8105886247</v>
      </c>
    </row>
    <row r="8" spans="1:19" ht="12">
      <c r="A8" s="86" t="s">
        <v>99</v>
      </c>
      <c r="B8" s="87">
        <v>555044</v>
      </c>
      <c r="C8" s="87">
        <v>652457</v>
      </c>
      <c r="D8" s="88">
        <f t="shared" si="1"/>
        <v>0.17550500500861194</v>
      </c>
      <c r="E8" s="87">
        <f t="shared" si="2"/>
        <v>744064.5752423231</v>
      </c>
      <c r="F8" s="87">
        <f t="shared" si="0"/>
        <v>770181.98664325</v>
      </c>
      <c r="G8" s="87">
        <f t="shared" si="0"/>
        <v>797216.1453279232</v>
      </c>
      <c r="H8" s="87">
        <f t="shared" si="0"/>
        <v>825199.2300436678</v>
      </c>
      <c r="I8" s="89">
        <f t="shared" si="0"/>
        <v>854164.5490440511</v>
      </c>
      <c r="J8" s="90"/>
      <c r="K8" s="86" t="s">
        <v>99</v>
      </c>
      <c r="L8" s="87">
        <f t="shared" si="3"/>
        <v>482832.7756</v>
      </c>
      <c r="M8" s="87">
        <f t="shared" si="3"/>
        <v>567572.3443</v>
      </c>
      <c r="N8" s="88"/>
      <c r="O8" s="87">
        <f t="shared" si="4"/>
        <v>647261.7740032969</v>
      </c>
      <c r="P8" s="87">
        <f t="shared" si="5"/>
        <v>669981.3101809631</v>
      </c>
      <c r="Q8" s="87">
        <f t="shared" si="5"/>
        <v>693498.3248207604</v>
      </c>
      <c r="R8" s="87">
        <f t="shared" si="5"/>
        <v>717840.8102149867</v>
      </c>
      <c r="S8" s="89">
        <f t="shared" si="5"/>
        <v>743037.74121342</v>
      </c>
    </row>
    <row r="9" spans="1:19" ht="12">
      <c r="A9" s="86" t="s">
        <v>98</v>
      </c>
      <c r="B9" s="87">
        <v>351384</v>
      </c>
      <c r="C9" s="87">
        <v>408365</v>
      </c>
      <c r="D9" s="88">
        <f t="shared" si="1"/>
        <v>0.16216162375065454</v>
      </c>
      <c r="E9" s="87">
        <f t="shared" si="2"/>
        <v>461341.9051863488</v>
      </c>
      <c r="F9" s="87">
        <f t="shared" si="0"/>
        <v>476304.2956761966</v>
      </c>
      <c r="G9" s="87">
        <f t="shared" si="0"/>
        <v>491751.9512734493</v>
      </c>
      <c r="H9" s="87">
        <f t="shared" si="0"/>
        <v>507700.6102536603</v>
      </c>
      <c r="I9" s="89">
        <f t="shared" si="0"/>
        <v>524166.5213212466</v>
      </c>
      <c r="J9" s="90"/>
      <c r="K9" s="86" t="s">
        <v>98</v>
      </c>
      <c r="L9" s="87">
        <f t="shared" si="3"/>
        <v>305668.9416</v>
      </c>
      <c r="M9" s="87">
        <f t="shared" si="3"/>
        <v>355236.7135</v>
      </c>
      <c r="N9" s="88"/>
      <c r="O9" s="87">
        <f t="shared" si="4"/>
        <v>401321.32332160487</v>
      </c>
      <c r="P9" s="87">
        <f t="shared" si="5"/>
        <v>414337.1068087234</v>
      </c>
      <c r="Q9" s="87">
        <f t="shared" si="5"/>
        <v>427775.0224127735</v>
      </c>
      <c r="R9" s="87">
        <f t="shared" si="5"/>
        <v>441648.7608596591</v>
      </c>
      <c r="S9" s="89">
        <f t="shared" si="5"/>
        <v>455972.4568973524</v>
      </c>
    </row>
    <row r="10" spans="1:19" ht="12">
      <c r="A10" s="86" t="s">
        <v>100</v>
      </c>
      <c r="B10" s="87">
        <v>163494</v>
      </c>
      <c r="C10" s="87">
        <v>195996</v>
      </c>
      <c r="D10" s="88">
        <f t="shared" si="1"/>
        <v>0.1987962861022423</v>
      </c>
      <c r="E10" s="87">
        <f t="shared" si="2"/>
        <v>227166.62151271608</v>
      </c>
      <c r="F10" s="87">
        <f t="shared" si="0"/>
        <v>236198.5976493404</v>
      </c>
      <c r="G10" s="87">
        <f t="shared" si="0"/>
        <v>245589.67844838972</v>
      </c>
      <c r="H10" s="87">
        <f t="shared" si="0"/>
        <v>255354.14164450645</v>
      </c>
      <c r="I10" s="89">
        <f t="shared" si="0"/>
        <v>265506.8326444572</v>
      </c>
      <c r="J10" s="90"/>
      <c r="K10" s="86" t="s">
        <v>100</v>
      </c>
      <c r="L10" s="87">
        <f t="shared" si="3"/>
        <v>142223.4306</v>
      </c>
      <c r="M10" s="87">
        <f t="shared" si="3"/>
        <v>170496.9204</v>
      </c>
      <c r="N10" s="88"/>
      <c r="O10" s="87">
        <f t="shared" si="4"/>
        <v>197612.2440539117</v>
      </c>
      <c r="P10" s="87">
        <f t="shared" si="5"/>
        <v>205469.1600951612</v>
      </c>
      <c r="Q10" s="87">
        <f t="shared" si="5"/>
        <v>213638.46128225423</v>
      </c>
      <c r="R10" s="87">
        <f t="shared" si="5"/>
        <v>222132.56781655617</v>
      </c>
      <c r="S10" s="89">
        <f t="shared" si="5"/>
        <v>230964.3937174133</v>
      </c>
    </row>
    <row r="11" spans="1:19" ht="12">
      <c r="A11" s="86" t="s">
        <v>96</v>
      </c>
      <c r="B11" s="87">
        <v>224010</v>
      </c>
      <c r="C11" s="87">
        <v>269500</v>
      </c>
      <c r="D11" s="88">
        <f t="shared" si="1"/>
        <v>0.20307129146020267</v>
      </c>
      <c r="E11" s="87">
        <f t="shared" si="2"/>
        <v>313282.1704388197</v>
      </c>
      <c r="F11" s="87">
        <f t="shared" si="0"/>
        <v>326005.89342731296</v>
      </c>
      <c r="G11" s="87">
        <f t="shared" si="0"/>
        <v>339246.3809876973</v>
      </c>
      <c r="H11" s="87">
        <f t="shared" si="0"/>
        <v>353024.62112977164</v>
      </c>
      <c r="I11" s="89">
        <f t="shared" si="0"/>
        <v>367362.45427578595</v>
      </c>
      <c r="J11" s="90"/>
      <c r="K11" s="86" t="s">
        <v>96</v>
      </c>
      <c r="L11" s="87">
        <f t="shared" si="3"/>
        <v>194866.299</v>
      </c>
      <c r="M11" s="87">
        <f t="shared" si="3"/>
        <v>234438.05</v>
      </c>
      <c r="N11" s="88"/>
      <c r="O11" s="87">
        <f t="shared" si="4"/>
        <v>272524.1600647292</v>
      </c>
      <c r="P11" s="87">
        <f t="shared" si="5"/>
        <v>283592.52669241955</v>
      </c>
      <c r="Q11" s="87">
        <f t="shared" si="5"/>
        <v>295110.42682119785</v>
      </c>
      <c r="R11" s="87">
        <f t="shared" si="5"/>
        <v>307096.11792078835</v>
      </c>
      <c r="S11" s="89">
        <f t="shared" si="5"/>
        <v>319568.5989745062</v>
      </c>
    </row>
    <row r="12" spans="1:19" ht="12">
      <c r="A12" s="86" t="s">
        <v>97</v>
      </c>
      <c r="B12" s="87">
        <v>62771</v>
      </c>
      <c r="C12" s="87">
        <v>67800</v>
      </c>
      <c r="D12" s="88">
        <f t="shared" si="1"/>
        <v>0.08011661436013445</v>
      </c>
      <c r="E12" s="87">
        <f t="shared" si="2"/>
        <v>72145.5251628937</v>
      </c>
      <c r="F12" s="87">
        <f t="shared" si="0"/>
        <v>73301.53620635068</v>
      </c>
      <c r="G12" s="87">
        <f t="shared" si="0"/>
        <v>74476.07038800059</v>
      </c>
      <c r="H12" s="87">
        <f t="shared" si="0"/>
        <v>75669.42451006731</v>
      </c>
      <c r="I12" s="89">
        <f t="shared" si="0"/>
        <v>76881.90013053258</v>
      </c>
      <c r="J12" s="90"/>
      <c r="K12" s="86" t="s">
        <v>97</v>
      </c>
      <c r="L12" s="87">
        <f t="shared" si="3"/>
        <v>54604.4929</v>
      </c>
      <c r="M12" s="87">
        <f t="shared" si="3"/>
        <v>58979.22</v>
      </c>
      <c r="N12" s="88"/>
      <c r="O12" s="87">
        <f t="shared" si="4"/>
        <v>62759.39233920123</v>
      </c>
      <c r="P12" s="87">
        <f t="shared" si="5"/>
        <v>63765.006345904454</v>
      </c>
      <c r="Q12" s="87">
        <f t="shared" si="5"/>
        <v>64786.73363052171</v>
      </c>
      <c r="R12" s="87">
        <f t="shared" si="5"/>
        <v>65824.83238130755</v>
      </c>
      <c r="S12" s="89">
        <f t="shared" si="5"/>
        <v>66879.5649235503</v>
      </c>
    </row>
    <row r="13" spans="1:19" ht="12">
      <c r="A13" s="86" t="s">
        <v>94</v>
      </c>
      <c r="B13" s="87">
        <v>301942</v>
      </c>
      <c r="C13" s="87">
        <v>352984</v>
      </c>
      <c r="D13" s="88">
        <f t="shared" si="1"/>
        <v>0.16904571076564373</v>
      </c>
      <c r="E13" s="87">
        <f t="shared" si="2"/>
        <v>400720.34493511997</v>
      </c>
      <c r="F13" s="87">
        <f t="shared" si="0"/>
        <v>414268.35604068224</v>
      </c>
      <c r="G13" s="87">
        <f t="shared" si="0"/>
        <v>428274.41377960466</v>
      </c>
      <c r="H13" s="87">
        <f t="shared" si="0"/>
        <v>442754.0043156272</v>
      </c>
      <c r="I13" s="89">
        <f t="shared" si="0"/>
        <v>457723.13738640124</v>
      </c>
      <c r="J13" s="90"/>
      <c r="K13" s="86" t="s">
        <v>94</v>
      </c>
      <c r="L13" s="87">
        <f t="shared" si="3"/>
        <v>262659.3458</v>
      </c>
      <c r="M13" s="87">
        <f t="shared" si="3"/>
        <v>307060.7816</v>
      </c>
      <c r="N13" s="88"/>
      <c r="O13" s="87">
        <f t="shared" si="4"/>
        <v>348586.62805906084</v>
      </c>
      <c r="P13" s="87">
        <f t="shared" si="5"/>
        <v>360372.0429197895</v>
      </c>
      <c r="Q13" s="87">
        <f t="shared" si="5"/>
        <v>372555.9125468781</v>
      </c>
      <c r="R13" s="87">
        <f t="shared" si="5"/>
        <v>385151.7083541641</v>
      </c>
      <c r="S13" s="89">
        <f t="shared" si="5"/>
        <v>398173.35721243045</v>
      </c>
    </row>
    <row r="14" spans="1:19" ht="12">
      <c r="A14" s="226"/>
      <c r="B14" s="224"/>
      <c r="C14" s="224"/>
      <c r="D14" s="224"/>
      <c r="E14" s="224"/>
      <c r="F14" s="224"/>
      <c r="G14" s="224"/>
      <c r="H14" s="224"/>
      <c r="I14" s="251"/>
      <c r="J14" s="85"/>
      <c r="K14" s="226"/>
      <c r="L14" s="224"/>
      <c r="M14" s="224"/>
      <c r="N14" s="224"/>
      <c r="O14" s="224"/>
      <c r="P14" s="224"/>
      <c r="Q14" s="224"/>
      <c r="R14" s="224"/>
      <c r="S14" s="251"/>
    </row>
    <row r="15" spans="1:19" ht="12.75" thickBot="1">
      <c r="A15" s="91" t="s">
        <v>138</v>
      </c>
      <c r="B15" s="92">
        <f>SUM(B5:B14)</f>
        <v>2825200</v>
      </c>
      <c r="C15" s="92">
        <f>SUM(C5:C14)</f>
        <v>3280506</v>
      </c>
      <c r="D15" s="93">
        <f>+(C15-B15)/B15</f>
        <v>0.16115885601019397</v>
      </c>
      <c r="E15" s="94">
        <f>SUM(E5:E13)</f>
        <v>3706133.2515653837</v>
      </c>
      <c r="F15" s="94">
        <f>SUM(F5:F13)</f>
        <v>3826955.044981842</v>
      </c>
      <c r="G15" s="94">
        <f>SUM(G5:G13)</f>
        <v>3951884.597994277</v>
      </c>
      <c r="H15" s="94">
        <f>SUM(H5:H13)</f>
        <v>4081065.9491621316</v>
      </c>
      <c r="I15" s="95">
        <f>SUM(I5:I13)</f>
        <v>4214648.302095299</v>
      </c>
      <c r="J15" s="96"/>
      <c r="K15" s="91" t="s">
        <v>138</v>
      </c>
      <c r="L15" s="92">
        <f>+B15*0.8699</f>
        <v>2457641.48</v>
      </c>
      <c r="M15" s="92">
        <f>+C15*0.8699</f>
        <v>2853712.1694</v>
      </c>
      <c r="N15" s="93"/>
      <c r="O15" s="92">
        <f t="shared" si="4"/>
        <v>3223965.315536727</v>
      </c>
      <c r="P15" s="92">
        <f>+F15*0.8699</f>
        <v>3329068.1936297044</v>
      </c>
      <c r="Q15" s="92">
        <f>+G15*0.8699</f>
        <v>3437744.4117952213</v>
      </c>
      <c r="R15" s="92">
        <f>+H15*0.8699</f>
        <v>3550119.2691761386</v>
      </c>
      <c r="S15" s="97">
        <f>+I15*0.8699</f>
        <v>3666322.5579927005</v>
      </c>
    </row>
    <row r="16" spans="1:19" ht="12">
      <c r="A16" s="98" t="s">
        <v>153</v>
      </c>
      <c r="B16" s="90"/>
      <c r="C16" s="90"/>
      <c r="D16" s="99"/>
      <c r="E16" s="96"/>
      <c r="F16" s="96"/>
      <c r="G16" s="96"/>
      <c r="H16" s="96"/>
      <c r="I16" s="96"/>
      <c r="J16" s="96"/>
      <c r="K16" s="85"/>
      <c r="L16" s="90"/>
      <c r="M16" s="90"/>
      <c r="N16" s="99"/>
      <c r="O16" s="90"/>
      <c r="P16" s="90"/>
      <c r="Q16" s="90"/>
      <c r="R16" s="90"/>
      <c r="S16" s="90"/>
    </row>
    <row r="17" spans="7:19" ht="12">
      <c r="G17" s="96"/>
      <c r="H17" s="96"/>
      <c r="I17" s="96"/>
      <c r="J17" s="96"/>
      <c r="K17" s="183"/>
      <c r="L17" s="181"/>
      <c r="M17" s="181"/>
      <c r="N17" s="181"/>
      <c r="O17" s="181"/>
      <c r="P17" s="100"/>
      <c r="Q17" s="90"/>
      <c r="R17" s="90"/>
      <c r="S17" s="90"/>
    </row>
    <row r="18" spans="1:9" ht="12">
      <c r="A18" s="246" t="s">
        <v>150</v>
      </c>
      <c r="B18" s="247"/>
      <c r="C18" s="247"/>
      <c r="D18" s="247"/>
      <c r="E18" s="247"/>
      <c r="F18" s="170">
        <v>0.03</v>
      </c>
      <c r="G18" s="110"/>
      <c r="H18" s="111"/>
      <c r="I18" s="112"/>
    </row>
    <row r="19" ht="12.75" thickBot="1"/>
    <row r="20" spans="1:19" ht="12.75" thickBot="1">
      <c r="A20" s="240" t="s">
        <v>151</v>
      </c>
      <c r="B20" s="241"/>
      <c r="C20" s="241"/>
      <c r="D20" s="241"/>
      <c r="E20" s="241"/>
      <c r="F20" s="241"/>
      <c r="G20" s="241"/>
      <c r="H20" s="241"/>
      <c r="I20" s="242"/>
      <c r="K20" s="243" t="s">
        <v>151</v>
      </c>
      <c r="L20" s="244"/>
      <c r="M20" s="244"/>
      <c r="N20" s="244"/>
      <c r="O20" s="244"/>
      <c r="P20" s="244"/>
      <c r="Q20" s="244"/>
      <c r="R20" s="244"/>
      <c r="S20" s="245"/>
    </row>
    <row r="21" spans="1:19" ht="12.75" thickBot="1">
      <c r="A21" s="214" t="s">
        <v>172</v>
      </c>
      <c r="B21" s="214"/>
      <c r="C21" s="214"/>
      <c r="D21" s="214"/>
      <c r="E21" s="214"/>
      <c r="F21" s="214"/>
      <c r="G21" s="214"/>
      <c r="H21" s="214"/>
      <c r="I21" s="214"/>
      <c r="K21" s="214" t="s">
        <v>171</v>
      </c>
      <c r="L21" s="214"/>
      <c r="M21" s="214"/>
      <c r="N21" s="214"/>
      <c r="O21" s="214"/>
      <c r="P21" s="214"/>
      <c r="Q21" s="214"/>
      <c r="R21" s="214"/>
      <c r="S21" s="214"/>
    </row>
    <row r="22" spans="1:19" ht="12">
      <c r="A22" s="78"/>
      <c r="B22" s="79" t="s">
        <v>129</v>
      </c>
      <c r="C22" s="79" t="s">
        <v>130</v>
      </c>
      <c r="D22" s="79"/>
      <c r="E22" s="79" t="s">
        <v>185</v>
      </c>
      <c r="F22" s="79" t="s">
        <v>181</v>
      </c>
      <c r="G22" s="79" t="s">
        <v>182</v>
      </c>
      <c r="H22" s="79" t="s">
        <v>197</v>
      </c>
      <c r="I22" s="80" t="s">
        <v>184</v>
      </c>
      <c r="K22" s="78"/>
      <c r="L22" s="79" t="s">
        <v>129</v>
      </c>
      <c r="M22" s="79" t="s">
        <v>130</v>
      </c>
      <c r="N22" s="79"/>
      <c r="O22" s="79" t="s">
        <v>185</v>
      </c>
      <c r="P22" s="79" t="s">
        <v>181</v>
      </c>
      <c r="Q22" s="79" t="s">
        <v>182</v>
      </c>
      <c r="R22" s="79" t="s">
        <v>197</v>
      </c>
      <c r="S22" s="80" t="s">
        <v>184</v>
      </c>
    </row>
    <row r="23" spans="1:19" ht="12">
      <c r="A23" s="82" t="s">
        <v>137</v>
      </c>
      <c r="B23" s="223"/>
      <c r="C23" s="224"/>
      <c r="D23" s="224"/>
      <c r="E23" s="224"/>
      <c r="F23" s="224"/>
      <c r="G23" s="224"/>
      <c r="H23" s="224"/>
      <c r="I23" s="251"/>
      <c r="K23" s="82" t="s">
        <v>137</v>
      </c>
      <c r="L23" s="223"/>
      <c r="M23" s="224"/>
      <c r="N23" s="224"/>
      <c r="O23" s="224"/>
      <c r="P23" s="224"/>
      <c r="Q23" s="224"/>
      <c r="R23" s="224"/>
      <c r="S23" s="251"/>
    </row>
    <row r="24" spans="1:19" ht="12">
      <c r="A24" s="86" t="s">
        <v>95</v>
      </c>
      <c r="B24" s="87"/>
      <c r="C24" s="87"/>
      <c r="D24" s="88"/>
      <c r="E24" s="87">
        <f>+(E5*$F$18)*'Home Based Costing Model'!$C$28*12</f>
        <v>90851722.06089489</v>
      </c>
      <c r="F24" s="87">
        <f>+(F5*$F$18)*'Home Based Costing Model'!$C$28*12</f>
        <v>92897611.26423201</v>
      </c>
      <c r="G24" s="87">
        <f>+(G5*$F$18)*'Home Based Costing Model'!$C$28*12</f>
        <v>94989571.83019587</v>
      </c>
      <c r="H24" s="87">
        <f>+(H5*$F$18)*'Home Based Costing Model'!$C$28*12</f>
        <v>97128641.23943344</v>
      </c>
      <c r="I24" s="89">
        <f>+(I5*$F$18)*'Home Based Costing Model'!$C$28*12</f>
        <v>99315880.33561006</v>
      </c>
      <c r="K24" s="86" t="s">
        <v>95</v>
      </c>
      <c r="L24" s="87"/>
      <c r="M24" s="87"/>
      <c r="N24" s="88"/>
      <c r="O24" s="87">
        <f>+(O5*$F$18)*'Home Based Costing Model'!$C$28*12</f>
        <v>79031913.02077247</v>
      </c>
      <c r="P24" s="87">
        <f>+(P5*$F$18)*'Home Based Costing Model'!$C$28*12</f>
        <v>80811632.03875542</v>
      </c>
      <c r="Q24" s="87">
        <f>+(Q5*$F$18)*'Home Based Costing Model'!$C$28*12</f>
        <v>82631428.53508738</v>
      </c>
      <c r="R24" s="87">
        <f>+(R5*$F$18)*'Home Based Costing Model'!$C$28*12</f>
        <v>84492205.01418315</v>
      </c>
      <c r="S24" s="89">
        <f>+(S5*$F$18)*'Home Based Costing Model'!$C$28*12</f>
        <v>86394884.30394721</v>
      </c>
    </row>
    <row r="25" spans="1:19" ht="12">
      <c r="A25" s="86" t="s">
        <v>101</v>
      </c>
      <c r="B25" s="87"/>
      <c r="C25" s="87"/>
      <c r="D25" s="88"/>
      <c r="E25" s="87">
        <f>+(E6*$F$18)*'Home Based Costing Model'!$C$28*12</f>
        <v>30307476.821220405</v>
      </c>
      <c r="F25" s="87">
        <f>+(F6*$F$18)*'Home Based Costing Model'!$C$28*12</f>
        <v>30964915.620226275</v>
      </c>
      <c r="G25" s="87">
        <f>+(G6*$F$18)*'Home Based Costing Model'!$C$28*12</f>
        <v>31636615.77714683</v>
      </c>
      <c r="H25" s="87">
        <f>+(H6*$F$18)*'Home Based Costing Model'!$C$28*12</f>
        <v>32322886.6535985</v>
      </c>
      <c r="I25" s="89">
        <f>+(I6*$F$18)*'Home Based Costing Model'!$C$28*12</f>
        <v>33024044.321961902</v>
      </c>
      <c r="K25" s="86" t="s">
        <v>101</v>
      </c>
      <c r="L25" s="87"/>
      <c r="M25" s="87"/>
      <c r="N25" s="88"/>
      <c r="O25" s="87">
        <f>+(O6*$F$18)*'Home Based Costing Model'!$C$28*12</f>
        <v>26364474.08677963</v>
      </c>
      <c r="P25" s="87">
        <f>+(P6*$F$18)*'Home Based Costing Model'!$C$28*12</f>
        <v>26936380.098034836</v>
      </c>
      <c r="Q25" s="87">
        <f>+(Q6*$F$18)*'Home Based Costing Model'!$C$28*12</f>
        <v>27520692.06454002</v>
      </c>
      <c r="R25" s="87">
        <f>+(R6*$F$18)*'Home Based Costing Model'!$C$28*12</f>
        <v>28117679.099965334</v>
      </c>
      <c r="S25" s="89">
        <f>+(S6*$F$18)*'Home Based Costing Model'!$C$28*12</f>
        <v>28727616.15567466</v>
      </c>
    </row>
    <row r="26" spans="1:19" ht="12">
      <c r="A26" s="86" t="s">
        <v>93</v>
      </c>
      <c r="B26" s="87"/>
      <c r="C26" s="87"/>
      <c r="D26" s="88"/>
      <c r="E26" s="87">
        <f>+(E7*$F$18)*'Home Based Costing Model'!$C$28*12</f>
        <v>88565908.49917457</v>
      </c>
      <c r="F26" s="87">
        <f>+(F7*$F$18)*'Home Based Costing Model'!$C$28*12</f>
        <v>91965380.60229972</v>
      </c>
      <c r="G26" s="87">
        <f>+(G7*$F$18)*'Home Based Costing Model'!$C$28*12</f>
        <v>95495336.44093624</v>
      </c>
      <c r="H26" s="87">
        <f>+(H7*$F$18)*'Home Based Costing Model'!$C$28*12</f>
        <v>99160784.4413092</v>
      </c>
      <c r="I26" s="89">
        <f>+(I7*$F$18)*'Home Based Costing Model'!$C$28*12</f>
        <v>102966925.27071628</v>
      </c>
      <c r="K26" s="86" t="s">
        <v>93</v>
      </c>
      <c r="L26" s="87"/>
      <c r="M26" s="87"/>
      <c r="N26" s="88"/>
      <c r="O26" s="87">
        <f>+(O7*$F$18)*'Home Based Costing Model'!$C$28*12</f>
        <v>77043483.80343196</v>
      </c>
      <c r="P26" s="87">
        <f>+(P7*$F$18)*'Home Based Costing Model'!$C$28*12</f>
        <v>80000684.58594054</v>
      </c>
      <c r="Q26" s="87">
        <f>+(Q7*$F$18)*'Home Based Costing Model'!$C$28*12</f>
        <v>83071393.16997042</v>
      </c>
      <c r="R26" s="87">
        <f>+(R7*$F$18)*'Home Based Costing Model'!$C$28*12</f>
        <v>86259966.38549486</v>
      </c>
      <c r="S26" s="89">
        <f>+(S7*$F$18)*'Home Based Costing Model'!$C$28*12</f>
        <v>89570928.29299608</v>
      </c>
    </row>
    <row r="27" spans="1:19" ht="12">
      <c r="A27" s="86" t="s">
        <v>99</v>
      </c>
      <c r="B27" s="87"/>
      <c r="C27" s="87"/>
      <c r="D27" s="88"/>
      <c r="E27" s="87">
        <f>+(E8*$F$18)*'Home Based Costing Model'!$C$28*12</f>
        <v>104913105.10916756</v>
      </c>
      <c r="F27" s="87">
        <f>+(F8*$F$18)*'Home Based Costing Model'!$C$28*12</f>
        <v>108595660.11669825</v>
      </c>
      <c r="G27" s="87">
        <f>+(G8*$F$18)*'Home Based Costing Model'!$C$28*12</f>
        <v>112407476.4912372</v>
      </c>
      <c r="H27" s="87">
        <f>+(H8*$F$18)*'Home Based Costing Model'!$C$28*12</f>
        <v>116353091.43615717</v>
      </c>
      <c r="I27" s="89">
        <f>+(I8*$F$18)*'Home Based Costing Model'!$C$28*12</f>
        <v>120437201.4152112</v>
      </c>
      <c r="K27" s="86" t="s">
        <v>99</v>
      </c>
      <c r="L27" s="87"/>
      <c r="M27" s="87"/>
      <c r="N27" s="88"/>
      <c r="O27" s="87">
        <f>+(O8*$F$18)*'Home Based Costing Model'!$C$28*12</f>
        <v>91263910.13446486</v>
      </c>
      <c r="P27" s="87">
        <f>+(P8*$F$18)*'Home Based Costing Model'!$C$28*12</f>
        <v>94467364.7355158</v>
      </c>
      <c r="Q27" s="87">
        <f>+(Q8*$F$18)*'Home Based Costing Model'!$C$28*12</f>
        <v>97783263.79972723</v>
      </c>
      <c r="R27" s="87">
        <f>+(R8*$F$18)*'Home Based Costing Model'!$C$28*12</f>
        <v>101215554.24031311</v>
      </c>
      <c r="S27" s="89">
        <f>+(S8*$F$18)*'Home Based Costing Model'!$C$28*12</f>
        <v>104768321.51109225</v>
      </c>
    </row>
    <row r="28" spans="1:19" ht="12">
      <c r="A28" s="86" t="s">
        <v>98</v>
      </c>
      <c r="B28" s="87"/>
      <c r="C28" s="87"/>
      <c r="D28" s="88"/>
      <c r="E28" s="87">
        <f>+(E9*$F$18)*'Home Based Costing Model'!$C$28*12</f>
        <v>65049208.63127519</v>
      </c>
      <c r="F28" s="87">
        <f>+(F9*$F$18)*'Home Based Costing Model'!$C$28*12</f>
        <v>67158905.69034372</v>
      </c>
      <c r="G28" s="87">
        <f>+(G9*$F$18)*'Home Based Costing Model'!$C$28*12</f>
        <v>69337025.12955636</v>
      </c>
      <c r="H28" s="87">
        <f>+(H9*$F$18)*'Home Based Costing Model'!$C$28*12</f>
        <v>71585786.04576612</v>
      </c>
      <c r="I28" s="89">
        <f>+(I9*$F$18)*'Home Based Costing Model'!$C$28*12</f>
        <v>73907479.50629577</v>
      </c>
      <c r="K28" s="86" t="s">
        <v>98</v>
      </c>
      <c r="L28" s="87"/>
      <c r="M28" s="87"/>
      <c r="N28" s="88"/>
      <c r="O28" s="87">
        <f>+(O9*$F$18)*'Home Based Costing Model'!$C$28*12</f>
        <v>56586306.58834629</v>
      </c>
      <c r="P28" s="87">
        <f>+(P9*$F$18)*'Home Based Costing Model'!$C$28*12</f>
        <v>58421532.060030006</v>
      </c>
      <c r="Q28" s="87">
        <f>+(Q9*$F$18)*'Home Based Costing Model'!$C$28*12</f>
        <v>60316278.16020107</v>
      </c>
      <c r="R28" s="87">
        <f>+(R9*$F$18)*'Home Based Costing Model'!$C$28*12</f>
        <v>62272475.28121194</v>
      </c>
      <c r="S28" s="89">
        <f>+(S9*$F$18)*'Home Based Costing Model'!$C$28*12</f>
        <v>64292116.422526695</v>
      </c>
    </row>
    <row r="29" spans="1:19" ht="12">
      <c r="A29" s="86" t="s">
        <v>100</v>
      </c>
      <c r="B29" s="87"/>
      <c r="C29" s="87"/>
      <c r="D29" s="88"/>
      <c r="E29" s="87">
        <f>+(E10*$F$18)*'Home Based Costing Model'!$C$28*12</f>
        <v>32030493.633292966</v>
      </c>
      <c r="F29" s="87">
        <f>+(F10*$F$18)*'Home Based Costing Model'!$C$28*12</f>
        <v>33304002.268556993</v>
      </c>
      <c r="G29" s="87">
        <f>+(G10*$F$18)*'Home Based Costing Model'!$C$28*12</f>
        <v>34628144.66122295</v>
      </c>
      <c r="H29" s="87">
        <f>+(H10*$F$18)*'Home Based Costing Model'!$C$28*12</f>
        <v>36004933.971875414</v>
      </c>
      <c r="I29" s="89">
        <f>+(I10*$F$18)*'Home Based Costing Model'!$C$28*12</f>
        <v>37436463.40286846</v>
      </c>
      <c r="K29" s="86" t="s">
        <v>100</v>
      </c>
      <c r="L29" s="87"/>
      <c r="M29" s="87"/>
      <c r="N29" s="88"/>
      <c r="O29" s="87">
        <f>+(O10*$F$18)*'Home Based Costing Model'!$C$28*12</f>
        <v>27863326.41160155</v>
      </c>
      <c r="P29" s="87">
        <f>+(P10*$F$18)*'Home Based Costing Model'!$C$28*12</f>
        <v>28971151.57341773</v>
      </c>
      <c r="Q29" s="87">
        <f>+(Q10*$F$18)*'Home Based Costing Model'!$C$28*12</f>
        <v>30123023.040797852</v>
      </c>
      <c r="R29" s="87">
        <f>+(R10*$F$18)*'Home Based Costing Model'!$C$28*12</f>
        <v>31320692.062134422</v>
      </c>
      <c r="S29" s="89">
        <f>+(S10*$F$18)*'Home Based Costing Model'!$C$28*12</f>
        <v>32565979.514155276</v>
      </c>
    </row>
    <row r="30" spans="1:19" ht="12">
      <c r="A30" s="86" t="s">
        <v>96</v>
      </c>
      <c r="B30" s="87"/>
      <c r="C30" s="87"/>
      <c r="D30" s="88"/>
      <c r="E30" s="87">
        <f>+(E11*$F$18)*'Home Based Costing Model'!$C$28*12</f>
        <v>44172786.03187357</v>
      </c>
      <c r="F30" s="87">
        <f>+(F11*$F$18)*'Home Based Costing Model'!$C$28*12</f>
        <v>45966830.973251134</v>
      </c>
      <c r="G30" s="87">
        <f>+(G11*$F$18)*'Home Based Costing Model'!$C$28*12</f>
        <v>47833739.71926531</v>
      </c>
      <c r="H30" s="87">
        <f>+(H11*$F$18)*'Home Based Costing Model'!$C$28*12</f>
        <v>49776471.579297796</v>
      </c>
      <c r="I30" s="89">
        <f>+(I11*$F$18)*'Home Based Costing Model'!$C$28*12</f>
        <v>51798106.052885816</v>
      </c>
      <c r="K30" s="86" t="s">
        <v>96</v>
      </c>
      <c r="L30" s="87"/>
      <c r="M30" s="87"/>
      <c r="N30" s="88"/>
      <c r="O30" s="87">
        <f>+(O11*$F$18)*'Home Based Costing Model'!$C$28*12</f>
        <v>38425906.56912682</v>
      </c>
      <c r="P30" s="87">
        <f>+(P11*$F$18)*'Home Based Costing Model'!$C$28*12</f>
        <v>39986546.26363115</v>
      </c>
      <c r="Q30" s="87">
        <f>+(Q11*$F$18)*'Home Based Costing Model'!$C$28*12</f>
        <v>41610570.18178889</v>
      </c>
      <c r="R30" s="87">
        <f>+(R11*$F$18)*'Home Based Costing Model'!$C$28*12</f>
        <v>43300552.62683117</v>
      </c>
      <c r="S30" s="89">
        <f>+(S11*$F$18)*'Home Based Costing Model'!$C$28*12</f>
        <v>45059172.45540537</v>
      </c>
    </row>
    <row r="31" spans="1:19" ht="12">
      <c r="A31" s="86" t="s">
        <v>97</v>
      </c>
      <c r="B31" s="87"/>
      <c r="C31" s="87"/>
      <c r="D31" s="88"/>
      <c r="E31" s="87">
        <f>+(E12*$F$18)*'Home Based Costing Model'!$C$28*12</f>
        <v>10172519.047968011</v>
      </c>
      <c r="F31" s="87">
        <f>+(F12*$F$18)*'Home Based Costing Model'!$C$28*12</f>
        <v>10335516.605095446</v>
      </c>
      <c r="G31" s="87">
        <f>+(G12*$F$18)*'Home Based Costing Model'!$C$28*12</f>
        <v>10501125.924708083</v>
      </c>
      <c r="H31" s="87">
        <f>+(H12*$F$18)*'Home Based Costing Model'!$C$28*12</f>
        <v>10669388.855919491</v>
      </c>
      <c r="I31" s="89">
        <f>+(I12*$F$18)*'Home Based Costing Model'!$C$28*12</f>
        <v>10840347.918405093</v>
      </c>
      <c r="K31" s="86" t="s">
        <v>97</v>
      </c>
      <c r="L31" s="87"/>
      <c r="M31" s="87"/>
      <c r="N31" s="88"/>
      <c r="O31" s="87">
        <f>+(O12*$F$18)*'Home Based Costing Model'!$C$28*12</f>
        <v>8849074.319827374</v>
      </c>
      <c r="P31" s="87">
        <f>+(P12*$F$18)*'Home Based Costing Model'!$C$28*12</f>
        <v>8990865.894772528</v>
      </c>
      <c r="Q31" s="87">
        <f>+(Q12*$F$18)*'Home Based Costing Model'!$C$28*12</f>
        <v>9134929.441903561</v>
      </c>
      <c r="R31" s="87">
        <f>+(R12*$F$18)*'Home Based Costing Model'!$C$28*12</f>
        <v>9281301.365764366</v>
      </c>
      <c r="S31" s="89">
        <f>+(S12*$F$18)*'Home Based Costing Model'!$C$28*12</f>
        <v>9430018.65422059</v>
      </c>
    </row>
    <row r="32" spans="1:19" ht="12">
      <c r="A32" s="86" t="s">
        <v>94</v>
      </c>
      <c r="B32" s="87"/>
      <c r="C32" s="87"/>
      <c r="D32" s="88"/>
      <c r="E32" s="87">
        <f>+(E13*$F$18)*'Home Based Costing Model'!$C$28*12</f>
        <v>56501568.63585191</v>
      </c>
      <c r="F32" s="87">
        <f>+(F13*$F$18)*'Home Based Costing Model'!$C$28*12</f>
        <v>58411838.2017362</v>
      </c>
      <c r="G32" s="87">
        <f>+(G13*$F$18)*'Home Based Costing Model'!$C$28*12</f>
        <v>60386692.34292425</v>
      </c>
      <c r="H32" s="87">
        <f>+(H13*$F$18)*'Home Based Costing Model'!$C$28*12</f>
        <v>62428314.60850344</v>
      </c>
      <c r="I32" s="89">
        <f>+(I13*$F$18)*'Home Based Costing Model'!$C$28*12</f>
        <v>64538962.371482566</v>
      </c>
      <c r="K32" s="86" t="s">
        <v>94</v>
      </c>
      <c r="L32" s="87"/>
      <c r="M32" s="87"/>
      <c r="N32" s="88"/>
      <c r="O32" s="87">
        <f>+(O13*$F$18)*'Home Based Costing Model'!$C$28*12</f>
        <v>49150714.55632758</v>
      </c>
      <c r="P32" s="87">
        <f>+(P13*$F$18)*'Home Based Costing Model'!$C$28*12</f>
        <v>50812458.05169031</v>
      </c>
      <c r="Q32" s="87">
        <f>+(Q13*$F$18)*'Home Based Costing Model'!$C$28*12</f>
        <v>52530383.66910981</v>
      </c>
      <c r="R32" s="87">
        <f>+(R13*$F$18)*'Home Based Costing Model'!$C$28*12</f>
        <v>54306390.87793714</v>
      </c>
      <c r="S32" s="89">
        <f>+(S13*$F$18)*'Home Based Costing Model'!$C$28*12</f>
        <v>56142443.366952695</v>
      </c>
    </row>
    <row r="33" spans="1:19" ht="12">
      <c r="A33" s="226"/>
      <c r="B33" s="224"/>
      <c r="C33" s="224"/>
      <c r="D33" s="224"/>
      <c r="E33" s="224"/>
      <c r="F33" s="224"/>
      <c r="G33" s="224"/>
      <c r="H33" s="224"/>
      <c r="I33" s="251"/>
      <c r="K33" s="226"/>
      <c r="L33" s="224"/>
      <c r="M33" s="224"/>
      <c r="N33" s="224"/>
      <c r="O33" s="224"/>
      <c r="P33" s="224"/>
      <c r="Q33" s="224"/>
      <c r="R33" s="224"/>
      <c r="S33" s="251"/>
    </row>
    <row r="34" spans="1:19" ht="12.75" thickBot="1">
      <c r="A34" s="91" t="s">
        <v>138</v>
      </c>
      <c r="B34" s="92"/>
      <c r="C34" s="92"/>
      <c r="D34" s="93"/>
      <c r="E34" s="92">
        <f>+(E15*$F$18)*'Home Based Costing Model'!$C$28*12</f>
        <v>522564788.4707191</v>
      </c>
      <c r="F34" s="92">
        <f>+(F15*$F$18)*'Home Based Costing Model'!$C$28*12</f>
        <v>539600661.3424397</v>
      </c>
      <c r="G34" s="92">
        <f>+(G15*$F$18)*'Home Based Costing Model'!$C$28*12</f>
        <v>557215728.317193</v>
      </c>
      <c r="H34" s="92">
        <f>+(H15*$F$18)*'Home Based Costing Model'!$C$28*12</f>
        <v>575430298.8318605</v>
      </c>
      <c r="I34" s="97">
        <f>+(I15*$F$18)*'Home Based Costing Model'!$C$28*12</f>
        <v>594265410.595437</v>
      </c>
      <c r="K34" s="91" t="s">
        <v>138</v>
      </c>
      <c r="L34" s="92"/>
      <c r="M34" s="92"/>
      <c r="N34" s="93"/>
      <c r="O34" s="92">
        <f>+(O15*$F$18)*'Home Based Costing Model'!$C$28*12</f>
        <v>454579109.49067855</v>
      </c>
      <c r="P34" s="92">
        <f>+(P15*$F$18)*'Home Based Costing Model'!$C$28*12</f>
        <v>469398615.30178833</v>
      </c>
      <c r="Q34" s="92">
        <f>+(Q15*$F$18)*'Home Based Costing Model'!$C$28*12</f>
        <v>484721962.0631262</v>
      </c>
      <c r="R34" s="92">
        <f>+(R15*$F$18)*'Home Based Costing Model'!$C$28*12</f>
        <v>500566816.9538356</v>
      </c>
      <c r="S34" s="97">
        <f>+(S15*$F$18)*'Home Based Costing Model'!$C$28*12</f>
        <v>516951480.6769708</v>
      </c>
    </row>
    <row r="36" ht="12.75" thickBot="1"/>
    <row r="37" spans="1:19" ht="12.75" thickBot="1">
      <c r="A37" s="240" t="s">
        <v>152</v>
      </c>
      <c r="B37" s="241"/>
      <c r="C37" s="241"/>
      <c r="D37" s="241"/>
      <c r="E37" s="241"/>
      <c r="F37" s="241"/>
      <c r="G37" s="241"/>
      <c r="H37" s="241"/>
      <c r="I37" s="242"/>
      <c r="K37" s="243" t="s">
        <v>152</v>
      </c>
      <c r="L37" s="244"/>
      <c r="M37" s="244"/>
      <c r="N37" s="244"/>
      <c r="O37" s="244"/>
      <c r="P37" s="244"/>
      <c r="Q37" s="244"/>
      <c r="R37" s="244"/>
      <c r="S37" s="245"/>
    </row>
    <row r="38" spans="1:19" ht="12.75" thickBot="1">
      <c r="A38" s="214" t="s">
        <v>172</v>
      </c>
      <c r="B38" s="214"/>
      <c r="C38" s="214"/>
      <c r="D38" s="214"/>
      <c r="E38" s="214"/>
      <c r="F38" s="214"/>
      <c r="G38" s="214"/>
      <c r="H38" s="214"/>
      <c r="I38" s="214"/>
      <c r="K38" s="214" t="s">
        <v>171</v>
      </c>
      <c r="L38" s="214"/>
      <c r="M38" s="214"/>
      <c r="N38" s="214"/>
      <c r="O38" s="214"/>
      <c r="P38" s="214"/>
      <c r="Q38" s="214"/>
      <c r="R38" s="214"/>
      <c r="S38" s="214"/>
    </row>
    <row r="39" spans="1:19" ht="12">
      <c r="A39" s="78"/>
      <c r="B39" s="79" t="s">
        <v>129</v>
      </c>
      <c r="C39" s="79" t="s">
        <v>130</v>
      </c>
      <c r="D39" s="79"/>
      <c r="E39" s="79">
        <v>2005</v>
      </c>
      <c r="F39" s="79">
        <v>2006</v>
      </c>
      <c r="G39" s="79">
        <v>2007</v>
      </c>
      <c r="H39" s="79">
        <v>2008</v>
      </c>
      <c r="I39" s="80">
        <v>2009</v>
      </c>
      <c r="K39" s="78"/>
      <c r="L39" s="79" t="s">
        <v>129</v>
      </c>
      <c r="M39" s="79" t="s">
        <v>130</v>
      </c>
      <c r="N39" s="79"/>
      <c r="O39" s="79">
        <v>2005</v>
      </c>
      <c r="P39" s="79">
        <v>2006</v>
      </c>
      <c r="Q39" s="79">
        <v>2007</v>
      </c>
      <c r="R39" s="79">
        <v>2008</v>
      </c>
      <c r="S39" s="80">
        <v>2009</v>
      </c>
    </row>
    <row r="40" spans="1:19" ht="12">
      <c r="A40" s="82" t="s">
        <v>137</v>
      </c>
      <c r="B40" s="223"/>
      <c r="C40" s="224"/>
      <c r="D40" s="224"/>
      <c r="E40" s="224"/>
      <c r="F40" s="224"/>
      <c r="G40" s="224"/>
      <c r="H40" s="224"/>
      <c r="I40" s="251"/>
      <c r="K40" s="82" t="s">
        <v>137</v>
      </c>
      <c r="L40" s="223"/>
      <c r="M40" s="224"/>
      <c r="N40" s="224"/>
      <c r="O40" s="224"/>
      <c r="P40" s="224"/>
      <c r="Q40" s="224"/>
      <c r="R40" s="224"/>
      <c r="S40" s="251"/>
    </row>
    <row r="41" spans="1:19" ht="12">
      <c r="A41" s="86" t="s">
        <v>95</v>
      </c>
      <c r="B41" s="87"/>
      <c r="C41" s="87"/>
      <c r="D41" s="88"/>
      <c r="E41" s="87">
        <f>+(E5*$F$18)*'Home Based Costing Model'!$E$28*12</f>
        <v>143236438.39813426</v>
      </c>
      <c r="F41" s="87">
        <f>+(F5*$F$18)*'Home Based Costing Model'!$E$28*12</f>
        <v>146461978.61020407</v>
      </c>
      <c r="G41" s="87">
        <f>+(G5*$F$18)*'Home Based Costing Model'!$E$28*12</f>
        <v>149760154.73654282</v>
      </c>
      <c r="H41" s="87">
        <f>+(H5*$F$18)*'Home Based Costing Model'!$E$28*12</f>
        <v>153132602.46472377</v>
      </c>
      <c r="I41" s="89">
        <f>+(I5*$F$18)*'Home Based Costing Model'!$E$28*12</f>
        <v>156580994.31635544</v>
      </c>
      <c r="K41" s="86" t="s">
        <v>95</v>
      </c>
      <c r="L41" s="87"/>
      <c r="M41" s="87"/>
      <c r="N41" s="88"/>
      <c r="O41" s="87">
        <f>+(O5*$F$18)*'Home Based Costing Model'!$E$28*12</f>
        <v>124601377.762537</v>
      </c>
      <c r="P41" s="87">
        <f>+(P5*$F$18)*'Home Based Costing Model'!$E$28*12</f>
        <v>127407275.19301653</v>
      </c>
      <c r="Q41" s="87">
        <f>+(Q5*$F$18)*'Home Based Costing Model'!$E$28*12</f>
        <v>130276358.60531862</v>
      </c>
      <c r="R41" s="87">
        <f>+(R5*$F$18)*'Home Based Costing Model'!$E$28*12</f>
        <v>133210050.8840632</v>
      </c>
      <c r="S41" s="89">
        <f>+(S5*$F$18)*'Home Based Costing Model'!$E$28*12</f>
        <v>136209806.9557976</v>
      </c>
    </row>
    <row r="42" spans="1:19" ht="12">
      <c r="A42" s="86" t="s">
        <v>101</v>
      </c>
      <c r="B42" s="87"/>
      <c r="C42" s="87"/>
      <c r="D42" s="88"/>
      <c r="E42" s="87">
        <f>+(E6*$F$18)*'Home Based Costing Model'!$E$28*12</f>
        <v>47782638.98834962</v>
      </c>
      <c r="F42" s="87">
        <f>+(F6*$F$18)*'Home Based Costing Model'!$E$28*12</f>
        <v>48819154.20125036</v>
      </c>
      <c r="G42" s="87">
        <f>+(G6*$F$18)*'Home Based Costing Model'!$E$28*12</f>
        <v>49878153.810352765</v>
      </c>
      <c r="H42" s="87">
        <f>+(H6*$F$18)*'Home Based Costing Model'!$E$28*12</f>
        <v>50960125.55386486</v>
      </c>
      <c r="I42" s="89">
        <f>+(I6*$F$18)*'Home Based Costing Model'!$E$28*12</f>
        <v>52065567.750156954</v>
      </c>
      <c r="K42" s="86" t="s">
        <v>101</v>
      </c>
      <c r="L42" s="87"/>
      <c r="M42" s="87"/>
      <c r="N42" s="88"/>
      <c r="O42" s="87">
        <f>+(O6*$F$18)*'Home Based Costing Model'!$E$28*12</f>
        <v>41566117.65596533</v>
      </c>
      <c r="P42" s="87">
        <f>+(P6*$F$18)*'Home Based Costing Model'!$E$28*12</f>
        <v>42467782.239667684</v>
      </c>
      <c r="Q42" s="87">
        <f>+(Q6*$F$18)*'Home Based Costing Model'!$E$28*12</f>
        <v>43389005.99962587</v>
      </c>
      <c r="R42" s="87">
        <f>+(R6*$F$18)*'Home Based Costing Model'!$E$28*12</f>
        <v>44330213.21930705</v>
      </c>
      <c r="S42" s="89">
        <f>+(S6*$F$18)*'Home Based Costing Model'!$E$28*12</f>
        <v>45291837.38586154</v>
      </c>
    </row>
    <row r="43" spans="1:19" ht="12">
      <c r="A43" s="86" t="s">
        <v>93</v>
      </c>
      <c r="B43" s="87"/>
      <c r="C43" s="87"/>
      <c r="D43" s="88"/>
      <c r="E43" s="87">
        <f>+(E7*$F$18)*'Home Based Costing Model'!$E$28*12</f>
        <v>139632634.46359223</v>
      </c>
      <c r="F43" s="87">
        <f>+(F7*$F$18)*'Home Based Costing Model'!$E$28*12</f>
        <v>144992227.71554062</v>
      </c>
      <c r="G43" s="87">
        <f>+(G7*$F$18)*'Home Based Costing Model'!$E$28*12</f>
        <v>150557541.06964627</v>
      </c>
      <c r="H43" s="87">
        <f>+(H7*$F$18)*'Home Based Costing Model'!$E$28*12</f>
        <v>156336470.7893832</v>
      </c>
      <c r="I43" s="89">
        <f>+(I7*$F$18)*'Home Based Costing Model'!$E$28*12</f>
        <v>162337216.22468245</v>
      </c>
      <c r="K43" s="86" t="s">
        <v>93</v>
      </c>
      <c r="L43" s="87"/>
      <c r="M43" s="87"/>
      <c r="N43" s="88"/>
      <c r="O43" s="87">
        <f>+(O7*$F$18)*'Home Based Costing Model'!$E$28*12</f>
        <v>121466428.71987888</v>
      </c>
      <c r="P43" s="87">
        <f>+(P7*$F$18)*'Home Based Costing Model'!$E$28*12</f>
        <v>126128738.88974881</v>
      </c>
      <c r="Q43" s="87">
        <f>+(Q7*$F$18)*'Home Based Costing Model'!$E$28*12</f>
        <v>130970004.97648528</v>
      </c>
      <c r="R43" s="87">
        <f>+(R7*$F$18)*'Home Based Costing Model'!$E$28*12</f>
        <v>135997095.93968445</v>
      </c>
      <c r="S43" s="89">
        <f>+(S7*$F$18)*'Home Based Costing Model'!$E$28*12</f>
        <v>141217144.39385125</v>
      </c>
    </row>
    <row r="44" spans="1:19" ht="12">
      <c r="A44" s="86" t="s">
        <v>99</v>
      </c>
      <c r="B44" s="87"/>
      <c r="C44" s="87"/>
      <c r="D44" s="88"/>
      <c r="E44" s="87">
        <f>+(E8*$F$18)*'Home Based Costing Model'!$E$28*12</f>
        <v>165405555.07636842</v>
      </c>
      <c r="F44" s="87">
        <f>+(F8*$F$18)*'Home Based Costing Model'!$E$28*12</f>
        <v>171211455.63079447</v>
      </c>
      <c r="G44" s="87">
        <f>+(G8*$F$18)*'Home Based Costing Model'!$E$28*12</f>
        <v>177221149.10639733</v>
      </c>
      <c r="H44" s="87">
        <f>+(H8*$F$18)*'Home Based Costing Model'!$E$28*12</f>
        <v>183441788.83870736</v>
      </c>
      <c r="I44" s="89">
        <f>+(I8*$F$18)*'Home Based Costing Model'!$E$28*12</f>
        <v>189880779.25249255</v>
      </c>
      <c r="K44" s="86" t="s">
        <v>99</v>
      </c>
      <c r="L44" s="87"/>
      <c r="M44" s="87"/>
      <c r="N44" s="88"/>
      <c r="O44" s="87">
        <f>+(O8*$F$18)*'Home Based Costing Model'!$E$28*12</f>
        <v>143886292.3609329</v>
      </c>
      <c r="P44" s="87">
        <f>+(P8*$F$18)*'Home Based Costing Model'!$E$28*12</f>
        <v>148936845.2532281</v>
      </c>
      <c r="Q44" s="87">
        <f>+(Q8*$F$18)*'Home Based Costing Model'!$E$28*12</f>
        <v>154164677.60765505</v>
      </c>
      <c r="R44" s="87">
        <f>+(R8*$F$18)*'Home Based Costing Model'!$E$28*12</f>
        <v>159576012.11079153</v>
      </c>
      <c r="S44" s="89">
        <f>+(S8*$F$18)*'Home Based Costing Model'!$E$28*12</f>
        <v>165177289.8717433</v>
      </c>
    </row>
    <row r="45" spans="1:19" ht="12">
      <c r="A45" s="86" t="s">
        <v>98</v>
      </c>
      <c r="B45" s="87"/>
      <c r="C45" s="87"/>
      <c r="D45" s="88"/>
      <c r="E45" s="87">
        <f>+(E9*$F$18)*'Home Based Costing Model'!$E$28*12</f>
        <v>102556305.52292535</v>
      </c>
      <c r="F45" s="87">
        <f>+(F9*$F$18)*'Home Based Costing Model'!$E$28*12</f>
        <v>105882444.9288185</v>
      </c>
      <c r="G45" s="87">
        <f>+(G9*$F$18)*'Home Based Costing Model'!$E$28*12</f>
        <v>109316458.76808777</v>
      </c>
      <c r="H45" s="87">
        <f>+(H9*$F$18)*'Home Based Costing Model'!$E$28*12</f>
        <v>112861845.65938868</v>
      </c>
      <c r="I45" s="89">
        <f>+(I9*$F$18)*'Home Based Costing Model'!$E$28*12</f>
        <v>116522217.6897131</v>
      </c>
      <c r="K45" s="86" t="s">
        <v>98</v>
      </c>
      <c r="L45" s="87"/>
      <c r="M45" s="87"/>
      <c r="N45" s="88"/>
      <c r="O45" s="87">
        <f>+(O9*$F$18)*'Home Based Costing Model'!$E$28*12</f>
        <v>89213730.17439276</v>
      </c>
      <c r="P45" s="87">
        <f>+(P9*$F$18)*'Home Based Costing Model'!$E$28*12</f>
        <v>92107138.84357922</v>
      </c>
      <c r="Q45" s="87">
        <f>+(Q9*$F$18)*'Home Based Costing Model'!$E$28*12</f>
        <v>95094387.48235956</v>
      </c>
      <c r="R45" s="87">
        <f>+(R9*$F$18)*'Home Based Costing Model'!$E$28*12</f>
        <v>98178519.53910223</v>
      </c>
      <c r="S45" s="89">
        <f>+(S9*$F$18)*'Home Based Costing Model'!$E$28*12</f>
        <v>101362677.16828144</v>
      </c>
    </row>
    <row r="46" spans="1:19" ht="12">
      <c r="A46" s="86" t="s">
        <v>100</v>
      </c>
      <c r="B46" s="87"/>
      <c r="C46" s="87"/>
      <c r="D46" s="88"/>
      <c r="E46" s="87">
        <f>+(E10*$F$18)*'Home Based Costing Model'!$E$28*12</f>
        <v>50499139.96227679</v>
      </c>
      <c r="F46" s="87">
        <f>+(F10*$F$18)*'Home Based Costing Model'!$E$28*12</f>
        <v>52506948.25744837</v>
      </c>
      <c r="G46" s="87">
        <f>+(G10*$F$18)*'Home Based Costing Model'!$E$28*12</f>
        <v>54594585.51907703</v>
      </c>
      <c r="H46" s="87">
        <f>+(H10*$F$18)*'Home Based Costing Model'!$E$28*12</f>
        <v>56765225.687573776</v>
      </c>
      <c r="I46" s="89">
        <f>+(I10*$F$18)*'Home Based Costing Model'!$E$28*12</f>
        <v>59022168.89686282</v>
      </c>
      <c r="K46" s="86" t="s">
        <v>100</v>
      </c>
      <c r="L46" s="87"/>
      <c r="M46" s="87"/>
      <c r="N46" s="88"/>
      <c r="O46" s="87">
        <f>+(O10*$F$18)*'Home Based Costing Model'!$E$28*12</f>
        <v>43929201.853184566</v>
      </c>
      <c r="P46" s="87">
        <f>+(P10*$F$18)*'Home Based Costing Model'!$E$28*12</f>
        <v>45675794.289154336</v>
      </c>
      <c r="Q46" s="87">
        <f>+(Q10*$F$18)*'Home Based Costing Model'!$E$28*12</f>
        <v>47491829.94304511</v>
      </c>
      <c r="R46" s="87">
        <f>+(R10*$F$18)*'Home Based Costing Model'!$E$28*12</f>
        <v>49380069.825620435</v>
      </c>
      <c r="S46" s="89">
        <f>+(S10*$F$18)*'Home Based Costing Model'!$E$28*12</f>
        <v>51343384.72338097</v>
      </c>
    </row>
    <row r="47" spans="1:19" ht="12">
      <c r="A47" s="86" t="s">
        <v>96</v>
      </c>
      <c r="B47" s="87"/>
      <c r="C47" s="87"/>
      <c r="D47" s="88"/>
      <c r="E47" s="87">
        <f>+(E11*$F$18)*'Home Based Costing Model'!$E$28*12</f>
        <v>69642626.48854962</v>
      </c>
      <c r="F47" s="87">
        <f>+(F11*$F$18)*'Home Based Costing Model'!$E$28*12</f>
        <v>72471110.10889168</v>
      </c>
      <c r="G47" s="87">
        <f>+(G11*$F$18)*'Home Based Costing Model'!$E$28*12</f>
        <v>75414470.4935651</v>
      </c>
      <c r="H47" s="87">
        <f>+(H11*$F$18)*'Home Based Costing Model'!$E$28*12</f>
        <v>78477373.27714823</v>
      </c>
      <c r="I47" s="89">
        <f>+(I11*$F$18)*'Home Based Costing Model'!$E$28*12</f>
        <v>81664673.58550721</v>
      </c>
      <c r="K47" s="86" t="s">
        <v>96</v>
      </c>
      <c r="L47" s="87"/>
      <c r="M47" s="87"/>
      <c r="N47" s="88"/>
      <c r="O47" s="87">
        <f>+(O11*$F$18)*'Home Based Costing Model'!$E$28*12</f>
        <v>60582120.782389306</v>
      </c>
      <c r="P47" s="87">
        <f>+(P11*$F$18)*'Home Based Costing Model'!$E$28*12</f>
        <v>63042618.683724865</v>
      </c>
      <c r="Q47" s="87">
        <f>+(Q11*$F$18)*'Home Based Costing Model'!$E$28*12</f>
        <v>65603047.88235227</v>
      </c>
      <c r="R47" s="87">
        <f>+(R11*$F$18)*'Home Based Costing Model'!$E$28*12</f>
        <v>68267467.01379126</v>
      </c>
      <c r="S47" s="89">
        <f>+(S11*$F$18)*'Home Based Costing Model'!$E$28*12</f>
        <v>71040099.55203272</v>
      </c>
    </row>
    <row r="48" spans="1:19" ht="12">
      <c r="A48" s="86" t="s">
        <v>97</v>
      </c>
      <c r="B48" s="87"/>
      <c r="C48" s="87"/>
      <c r="D48" s="88"/>
      <c r="E48" s="87">
        <f>+(E12*$F$18)*'Home Based Costing Model'!$E$28*12</f>
        <v>16037950.243711269</v>
      </c>
      <c r="F48" s="87">
        <f>+(F12*$F$18)*'Home Based Costing Model'!$E$28*12</f>
        <v>16294931.498671755</v>
      </c>
      <c r="G48" s="87">
        <f>+(G12*$F$18)*'Home Based Costing Model'!$E$28*12</f>
        <v>16556030.44725253</v>
      </c>
      <c r="H48" s="87">
        <f>+(H12*$F$18)*'Home Based Costing Model'!$E$28*12</f>
        <v>16821313.068587966</v>
      </c>
      <c r="I48" s="89">
        <f>+(I12*$F$18)*'Home Based Costing Model'!$E$28*12</f>
        <v>17090846.399017394</v>
      </c>
      <c r="K48" s="86" t="s">
        <v>97</v>
      </c>
      <c r="L48" s="87"/>
      <c r="M48" s="87"/>
      <c r="N48" s="88"/>
      <c r="O48" s="87">
        <f>+(O12*$F$18)*'Home Based Costing Model'!$E$28*12</f>
        <v>13951412.917004434</v>
      </c>
      <c r="P48" s="87">
        <f>+(P12*$F$18)*'Home Based Costing Model'!$E$28*12</f>
        <v>14174960.91069456</v>
      </c>
      <c r="Q48" s="87">
        <f>+(Q12*$F$18)*'Home Based Costing Model'!$E$28*12</f>
        <v>14402090.886064975</v>
      </c>
      <c r="R48" s="87">
        <f>+(R12*$F$18)*'Home Based Costing Model'!$E$28*12</f>
        <v>14632860.238364669</v>
      </c>
      <c r="S48" s="89">
        <f>+(S12*$F$18)*'Home Based Costing Model'!$E$28*12</f>
        <v>14867327.28250523</v>
      </c>
    </row>
    <row r="49" spans="1:19" ht="12">
      <c r="A49" s="86" t="s">
        <v>94</v>
      </c>
      <c r="B49" s="87"/>
      <c r="C49" s="87"/>
      <c r="D49" s="88"/>
      <c r="E49" s="87">
        <f>+(E13*$F$18)*'Home Based Costing Model'!$E$28*12</f>
        <v>89080132.67907716</v>
      </c>
      <c r="F49" s="87">
        <f>+(F13*$F$18)*'Home Based Costing Model'!$E$28*12</f>
        <v>92091855.54784365</v>
      </c>
      <c r="G49" s="87">
        <f>+(G13*$F$18)*'Home Based Costing Model'!$E$28*12</f>
        <v>95205402.18320611</v>
      </c>
      <c r="H49" s="87">
        <f>+(H13*$F$18)*'Home Based Costing Model'!$E$28*12</f>
        <v>98424215.15936393</v>
      </c>
      <c r="I49" s="89">
        <f>+(I13*$F$18)*'Home Based Costing Model'!$E$28*12</f>
        <v>101751853.44099699</v>
      </c>
      <c r="K49" s="86" t="s">
        <v>94</v>
      </c>
      <c r="L49" s="87"/>
      <c r="M49" s="87"/>
      <c r="N49" s="88"/>
      <c r="O49" s="87">
        <f>+(O13*$F$18)*'Home Based Costing Model'!$E$28*12</f>
        <v>77490807.41752923</v>
      </c>
      <c r="P49" s="87">
        <f>+(P13*$F$18)*'Home Based Costing Model'!$E$28*12</f>
        <v>80110705.1410692</v>
      </c>
      <c r="Q49" s="87">
        <f>+(Q13*$F$18)*'Home Based Costing Model'!$E$28*12</f>
        <v>82819179.35917099</v>
      </c>
      <c r="R49" s="87">
        <f>+(R13*$F$18)*'Home Based Costing Model'!$E$28*12</f>
        <v>85619224.76713067</v>
      </c>
      <c r="S49" s="89">
        <f>+(S13*$F$18)*'Home Based Costing Model'!$E$28*12</f>
        <v>88513937.30832328</v>
      </c>
    </row>
    <row r="50" spans="1:19" ht="12">
      <c r="A50" s="226"/>
      <c r="B50" s="224"/>
      <c r="C50" s="224"/>
      <c r="D50" s="224"/>
      <c r="E50" s="224"/>
      <c r="F50" s="224"/>
      <c r="G50" s="224"/>
      <c r="H50" s="224"/>
      <c r="I50" s="251"/>
      <c r="K50" s="226"/>
      <c r="L50" s="224"/>
      <c r="M50" s="224"/>
      <c r="N50" s="224"/>
      <c r="O50" s="224"/>
      <c r="P50" s="224"/>
      <c r="Q50" s="224"/>
      <c r="R50" s="224"/>
      <c r="S50" s="251"/>
    </row>
    <row r="51" spans="1:19" ht="12.75" thickBot="1">
      <c r="A51" s="91" t="s">
        <v>138</v>
      </c>
      <c r="B51" s="92"/>
      <c r="C51" s="92"/>
      <c r="D51" s="93"/>
      <c r="E51" s="92">
        <f>+(E15*$F$18)*'Home Based Costing Model'!$E$28*12</f>
        <v>823873421.8229847</v>
      </c>
      <c r="F51" s="92">
        <f>+(F15*$F$18)*'Home Based Costing Model'!$E$28*12</f>
        <v>850732106.4994633</v>
      </c>
      <c r="G51" s="92">
        <f>+(G15*$F$18)*'Home Based Costing Model'!$E$28*12</f>
        <v>878503946.1341276</v>
      </c>
      <c r="H51" s="92">
        <f>+(H15*$F$18)*'Home Based Costing Model'!$E$28*12</f>
        <v>907220960.4987419</v>
      </c>
      <c r="I51" s="97">
        <f>+(I15*$F$18)*'Home Based Costing Model'!$E$28*12</f>
        <v>936916317.5557848</v>
      </c>
      <c r="K51" s="91" t="s">
        <v>138</v>
      </c>
      <c r="L51" s="92"/>
      <c r="M51" s="92"/>
      <c r="N51" s="93"/>
      <c r="O51" s="92">
        <f>+(O15*$F$18)*'Home Based Costing Model'!$E$28*12</f>
        <v>716687489.6438143</v>
      </c>
      <c r="P51" s="92">
        <f>+(P15*$F$18)*'Home Based Costing Model'!$E$28*12</f>
        <v>740051859.4438832</v>
      </c>
      <c r="Q51" s="92">
        <f>+(Q15*$F$18)*'Home Based Costing Model'!$E$28*12</f>
        <v>764210582.7420776</v>
      </c>
      <c r="R51" s="92">
        <f>+(R15*$F$18)*'Home Based Costing Model'!$E$28*12</f>
        <v>789191513.5378556</v>
      </c>
      <c r="S51" s="97">
        <f>+(S15*$F$18)*'Home Based Costing Model'!$E$28*12</f>
        <v>815023504.6417773</v>
      </c>
    </row>
  </sheetData>
  <mergeCells count="24">
    <mergeCell ref="B40:I40"/>
    <mergeCell ref="L40:S40"/>
    <mergeCell ref="K50:S50"/>
    <mergeCell ref="A50:I50"/>
    <mergeCell ref="B23:I23"/>
    <mergeCell ref="L23:S23"/>
    <mergeCell ref="K33:S33"/>
    <mergeCell ref="A33:I33"/>
    <mergeCell ref="A1:I1"/>
    <mergeCell ref="K1:S1"/>
    <mergeCell ref="A18:E18"/>
    <mergeCell ref="K17:O17"/>
    <mergeCell ref="B4:I4"/>
    <mergeCell ref="L4:S4"/>
    <mergeCell ref="K14:S14"/>
    <mergeCell ref="A14:I14"/>
    <mergeCell ref="A20:I20"/>
    <mergeCell ref="K20:S20"/>
    <mergeCell ref="A21:I21"/>
    <mergeCell ref="K21:S21"/>
    <mergeCell ref="A37:I37"/>
    <mergeCell ref="K37:S37"/>
    <mergeCell ref="A38:I38"/>
    <mergeCell ref="K38:S38"/>
  </mergeCells>
  <printOptions horizontalCentered="1"/>
  <pageMargins left="0.5118110236220472" right="0.4724409448818898" top="0.984251968503937" bottom="1.1811023622047245" header="0.5118110236220472" footer="0.5118110236220472"/>
  <pageSetup fitToHeight="1" fitToWidth="1" horizontalDpi="600" verticalDpi="600" orientation="portrait" paperSize="9" scale="37" r:id="rId1"/>
  <headerFooter alignWithMargins="0">
    <oddFooter>&amp;C&amp;A</oddFooter>
  </headerFooter>
  <colBreaks count="1" manualBreakCount="1">
    <brk id="9" max="50" man="1"/>
  </colBreaks>
</worksheet>
</file>

<file path=xl/worksheets/sheet7.xml><?xml version="1.0" encoding="utf-8"?>
<worksheet xmlns="http://schemas.openxmlformats.org/spreadsheetml/2006/main" xmlns:r="http://schemas.openxmlformats.org/officeDocument/2006/relationships">
  <dimension ref="A1:K50"/>
  <sheetViews>
    <sheetView workbookViewId="0" topLeftCell="A1">
      <selection activeCell="A28" sqref="A28"/>
    </sheetView>
  </sheetViews>
  <sheetFormatPr defaultColWidth="9.140625" defaultRowHeight="12.75"/>
  <cols>
    <col min="1" max="1" width="31.28125" style="0" customWidth="1"/>
    <col min="2" max="2" width="11.57421875" style="0" bestFit="1" customWidth="1"/>
    <col min="3" max="3" width="10.140625" style="0" bestFit="1" customWidth="1"/>
    <col min="4" max="4" width="11.8515625" style="0" customWidth="1"/>
    <col min="5" max="5" width="11.57421875" style="0" bestFit="1" customWidth="1"/>
    <col min="6" max="6" width="13.57421875" style="0" bestFit="1" customWidth="1"/>
    <col min="7" max="7" width="14.140625" style="0" bestFit="1" customWidth="1"/>
    <col min="8" max="8" width="11.57421875" style="0" bestFit="1" customWidth="1"/>
    <col min="9" max="9" width="10.140625" style="0" bestFit="1" customWidth="1"/>
  </cols>
  <sheetData>
    <row r="1" spans="1:11" ht="13.5" thickBot="1">
      <c r="A1" s="205" t="s">
        <v>117</v>
      </c>
      <c r="B1" s="206"/>
      <c r="C1" s="206"/>
      <c r="D1" s="207"/>
      <c r="E1" s="45"/>
      <c r="F1" s="45"/>
      <c r="G1" s="45"/>
      <c r="H1" s="45"/>
      <c r="I1" s="45"/>
      <c r="J1" s="45"/>
      <c r="K1" s="47"/>
    </row>
    <row r="2" spans="1:10" ht="13.5" thickBot="1">
      <c r="A2" s="208" t="s">
        <v>170</v>
      </c>
      <c r="B2" s="208"/>
      <c r="C2" s="208"/>
      <c r="D2" s="208"/>
      <c r="E2" s="46"/>
      <c r="F2" s="46"/>
      <c r="G2" s="46"/>
      <c r="H2" s="46"/>
      <c r="I2" s="46"/>
      <c r="J2" s="46"/>
    </row>
    <row r="3" spans="1:10" ht="13.5" thickBot="1">
      <c r="A3" s="209" t="s">
        <v>2</v>
      </c>
      <c r="B3" s="211" t="s">
        <v>0</v>
      </c>
      <c r="C3" s="212"/>
      <c r="D3" s="213"/>
      <c r="E3" s="252"/>
      <c r="F3" s="252"/>
      <c r="G3" s="252"/>
      <c r="H3" s="252"/>
      <c r="I3" s="252"/>
      <c r="J3" s="252"/>
    </row>
    <row r="4" spans="1:10" ht="13.5" thickBot="1">
      <c r="A4" s="238"/>
      <c r="B4" s="4" t="s">
        <v>3</v>
      </c>
      <c r="C4" s="5" t="s">
        <v>4</v>
      </c>
      <c r="D4" s="6" t="s">
        <v>5</v>
      </c>
      <c r="E4" s="64"/>
      <c r="F4" s="65"/>
      <c r="G4" s="64"/>
      <c r="H4" s="64"/>
      <c r="I4" s="65"/>
      <c r="J4" s="64"/>
    </row>
    <row r="5" spans="1:10" ht="12.75">
      <c r="A5" s="13" t="s">
        <v>114</v>
      </c>
      <c r="B5" s="74">
        <v>3000</v>
      </c>
      <c r="C5" s="52">
        <v>1</v>
      </c>
      <c r="D5" s="18">
        <f>+B5*C5</f>
        <v>3000</v>
      </c>
      <c r="E5" s="21"/>
      <c r="F5" s="22"/>
      <c r="G5" s="21"/>
      <c r="H5" s="21"/>
      <c r="I5" s="22"/>
      <c r="J5" s="21"/>
    </row>
    <row r="6" spans="1:10" ht="12.75">
      <c r="A6" s="14" t="s">
        <v>118</v>
      </c>
      <c r="B6" s="19">
        <v>1000</v>
      </c>
      <c r="C6" s="53">
        <v>1</v>
      </c>
      <c r="D6" s="20">
        <f>+B6*C6</f>
        <v>1000</v>
      </c>
      <c r="E6" s="21"/>
      <c r="F6" s="22"/>
      <c r="G6" s="21"/>
      <c r="H6" s="21"/>
      <c r="I6" s="22"/>
      <c r="J6" s="21"/>
    </row>
    <row r="7" spans="1:10" ht="12.75">
      <c r="A7" s="14" t="s">
        <v>115</v>
      </c>
      <c r="B7" s="19">
        <v>750</v>
      </c>
      <c r="C7" s="53">
        <v>20</v>
      </c>
      <c r="D7" s="20">
        <f aca="true" t="shared" si="0" ref="D7:D18">B7*C7</f>
        <v>15000</v>
      </c>
      <c r="E7" s="21"/>
      <c r="F7" s="22"/>
      <c r="G7" s="21"/>
      <c r="H7" s="21"/>
      <c r="I7" s="22"/>
      <c r="J7" s="21"/>
    </row>
    <row r="8" spans="1:10" ht="12.75">
      <c r="A8" s="14" t="s">
        <v>116</v>
      </c>
      <c r="B8" s="19">
        <v>500</v>
      </c>
      <c r="C8" s="53">
        <v>1</v>
      </c>
      <c r="D8" s="20">
        <f t="shared" si="0"/>
        <v>500</v>
      </c>
      <c r="E8" s="21"/>
      <c r="F8" s="22"/>
      <c r="G8" s="21"/>
      <c r="H8" s="21"/>
      <c r="I8" s="22"/>
      <c r="J8" s="21"/>
    </row>
    <row r="9" spans="1:10" ht="12.75">
      <c r="A9" s="14" t="s">
        <v>119</v>
      </c>
      <c r="B9" s="19">
        <v>500</v>
      </c>
      <c r="C9" s="53">
        <v>1</v>
      </c>
      <c r="D9" s="20">
        <f t="shared" si="0"/>
        <v>500</v>
      </c>
      <c r="E9" s="21"/>
      <c r="F9" s="22"/>
      <c r="G9" s="21"/>
      <c r="H9" s="21"/>
      <c r="I9" s="22"/>
      <c r="J9" s="21"/>
    </row>
    <row r="10" spans="1:10" ht="12.75">
      <c r="A10" s="14" t="s">
        <v>120</v>
      </c>
      <c r="B10" s="19">
        <v>150</v>
      </c>
      <c r="C10" s="53">
        <v>20</v>
      </c>
      <c r="D10" s="20">
        <f t="shared" si="0"/>
        <v>3000</v>
      </c>
      <c r="E10" s="21"/>
      <c r="F10" s="22"/>
      <c r="G10" s="21"/>
      <c r="H10" s="21"/>
      <c r="I10" s="22"/>
      <c r="J10" s="21"/>
    </row>
    <row r="11" spans="1:10" ht="12.75">
      <c r="A11" s="14" t="s">
        <v>36</v>
      </c>
      <c r="B11" s="19">
        <v>400</v>
      </c>
      <c r="C11" s="53">
        <v>1</v>
      </c>
      <c r="D11" s="20">
        <f t="shared" si="0"/>
        <v>400</v>
      </c>
      <c r="E11" s="21"/>
      <c r="F11" s="22"/>
      <c r="G11" s="21"/>
      <c r="H11" s="21"/>
      <c r="I11" s="22"/>
      <c r="J11" s="21"/>
    </row>
    <row r="12" spans="1:10" ht="12.75">
      <c r="A12" s="14" t="s">
        <v>121</v>
      </c>
      <c r="B12" s="19">
        <v>75</v>
      </c>
      <c r="C12" s="53">
        <v>20</v>
      </c>
      <c r="D12" s="20">
        <f t="shared" si="0"/>
        <v>1500</v>
      </c>
      <c r="E12" s="21"/>
      <c r="F12" s="22"/>
      <c r="G12" s="21"/>
      <c r="H12" s="21"/>
      <c r="I12" s="22"/>
      <c r="J12" s="21"/>
    </row>
    <row r="13" spans="1:10" ht="12.75">
      <c r="A13" s="14" t="s">
        <v>122</v>
      </c>
      <c r="B13" s="19">
        <f>7*20</f>
        <v>140</v>
      </c>
      <c r="C13" s="53">
        <v>20</v>
      </c>
      <c r="D13" s="20">
        <f t="shared" si="0"/>
        <v>2800</v>
      </c>
      <c r="E13" s="21"/>
      <c r="F13" s="22"/>
      <c r="G13" s="21"/>
      <c r="H13" s="21"/>
      <c r="I13" s="22"/>
      <c r="J13" s="21"/>
    </row>
    <row r="14" spans="1:10" ht="12.75">
      <c r="A14" s="14" t="s">
        <v>46</v>
      </c>
      <c r="B14" s="19">
        <v>100</v>
      </c>
      <c r="C14" s="53">
        <v>1</v>
      </c>
      <c r="D14" s="20">
        <f t="shared" si="0"/>
        <v>100</v>
      </c>
      <c r="E14" s="21"/>
      <c r="F14" s="22"/>
      <c r="G14" s="21"/>
      <c r="H14" s="21"/>
      <c r="I14" s="22"/>
      <c r="J14" s="21"/>
    </row>
    <row r="15" spans="1:10" ht="12.75">
      <c r="A15" s="14" t="s">
        <v>123</v>
      </c>
      <c r="B15" s="19">
        <v>200</v>
      </c>
      <c r="C15" s="53">
        <v>1</v>
      </c>
      <c r="D15" s="20">
        <f t="shared" si="0"/>
        <v>200</v>
      </c>
      <c r="E15" s="21"/>
      <c r="F15" s="22"/>
      <c r="G15" s="21"/>
      <c r="H15" s="21"/>
      <c r="I15" s="22"/>
      <c r="J15" s="21"/>
    </row>
    <row r="16" spans="1:10" ht="12.75">
      <c r="A16" s="14" t="s">
        <v>23</v>
      </c>
      <c r="B16" s="19">
        <v>500</v>
      </c>
      <c r="C16" s="53">
        <v>1</v>
      </c>
      <c r="D16" s="20">
        <f t="shared" si="0"/>
        <v>500</v>
      </c>
      <c r="E16" s="21"/>
      <c r="F16" s="22"/>
      <c r="G16" s="21"/>
      <c r="H16" s="21"/>
      <c r="I16" s="22"/>
      <c r="J16" s="21"/>
    </row>
    <row r="17" spans="1:10" ht="12.75">
      <c r="A17" s="14" t="s">
        <v>124</v>
      </c>
      <c r="B17" s="19">
        <v>500</v>
      </c>
      <c r="C17" s="53">
        <v>1</v>
      </c>
      <c r="D17" s="20">
        <f t="shared" si="0"/>
        <v>500</v>
      </c>
      <c r="E17" s="21"/>
      <c r="F17" s="22"/>
      <c r="G17" s="21"/>
      <c r="H17" s="21"/>
      <c r="I17" s="22"/>
      <c r="J17" s="21"/>
    </row>
    <row r="18" spans="1:10" ht="12.75">
      <c r="A18" s="14" t="s">
        <v>162</v>
      </c>
      <c r="B18" s="19">
        <v>500</v>
      </c>
      <c r="C18" s="53">
        <v>1</v>
      </c>
      <c r="D18" s="20">
        <f t="shared" si="0"/>
        <v>500</v>
      </c>
      <c r="E18" s="21"/>
      <c r="F18" s="22"/>
      <c r="G18" s="21"/>
      <c r="H18" s="21"/>
      <c r="I18" s="22"/>
      <c r="J18" s="21"/>
    </row>
    <row r="19" spans="1:10" ht="12.75">
      <c r="A19" s="14"/>
      <c r="B19" s="8"/>
      <c r="C19" s="53"/>
      <c r="D19" s="10"/>
      <c r="E19" s="21"/>
      <c r="F19" s="22"/>
      <c r="G19" s="21"/>
      <c r="H19" s="21"/>
      <c r="I19" s="22"/>
      <c r="J19" s="21"/>
    </row>
    <row r="20" spans="1:10" ht="12.75">
      <c r="A20" s="14" t="s">
        <v>65</v>
      </c>
      <c r="B20" s="8"/>
      <c r="C20" s="53"/>
      <c r="D20" s="10">
        <f>SUM(D5:D19)</f>
        <v>29500</v>
      </c>
      <c r="E20" s="21"/>
      <c r="F20" s="22"/>
      <c r="G20" s="21"/>
      <c r="H20" s="21"/>
      <c r="I20" s="22"/>
      <c r="J20" s="21"/>
    </row>
    <row r="21" spans="1:10" ht="12.75">
      <c r="A21" s="16" t="s">
        <v>125</v>
      </c>
      <c r="B21" s="42"/>
      <c r="C21" s="59"/>
      <c r="D21" s="43">
        <f>+D20/20</f>
        <v>1475</v>
      </c>
      <c r="E21" s="21"/>
      <c r="F21" s="108"/>
      <c r="G21" s="21"/>
      <c r="H21" s="21"/>
      <c r="I21" s="22"/>
      <c r="J21" s="21"/>
    </row>
    <row r="22" spans="1:10" ht="12.75">
      <c r="A22" s="14"/>
      <c r="B22" s="8"/>
      <c r="C22" s="53"/>
      <c r="D22" s="10"/>
      <c r="E22" s="21"/>
      <c r="F22" s="22"/>
      <c r="G22" s="21"/>
      <c r="H22" s="21"/>
      <c r="I22" s="22"/>
      <c r="J22" s="21"/>
    </row>
    <row r="23" spans="1:10" ht="12.75">
      <c r="A23" s="14"/>
      <c r="B23" s="8"/>
      <c r="C23" s="53"/>
      <c r="D23" s="10"/>
      <c r="E23" s="21"/>
      <c r="F23" s="22"/>
      <c r="G23" s="21"/>
      <c r="H23" s="21"/>
      <c r="I23" s="22"/>
      <c r="J23" s="21"/>
    </row>
    <row r="24" spans="1:10" ht="12.75">
      <c r="A24" s="14"/>
      <c r="B24" s="8"/>
      <c r="C24" s="53"/>
      <c r="D24" s="10"/>
      <c r="E24" s="21"/>
      <c r="F24" s="22"/>
      <c r="G24" s="21"/>
      <c r="H24" s="21"/>
      <c r="I24" s="22"/>
      <c r="J24" s="21"/>
    </row>
    <row r="25" spans="1:10" ht="13.5" thickBot="1">
      <c r="A25" s="15"/>
      <c r="B25" s="11"/>
      <c r="C25" s="56"/>
      <c r="D25" s="12"/>
      <c r="E25" s="21"/>
      <c r="F25" s="22"/>
      <c r="G25" s="21"/>
      <c r="H25" s="21"/>
      <c r="I25" s="22"/>
      <c r="J25" s="21"/>
    </row>
    <row r="26" spans="1:10" ht="12.75">
      <c r="A26" s="54"/>
      <c r="B26" s="21"/>
      <c r="C26" s="55"/>
      <c r="D26" s="21"/>
      <c r="E26" s="21"/>
      <c r="F26" s="22"/>
      <c r="G26" s="21"/>
      <c r="H26" s="21"/>
      <c r="I26" s="22"/>
      <c r="J26" s="21"/>
    </row>
    <row r="27" spans="1:10" ht="12.75">
      <c r="A27" s="54"/>
      <c r="B27" s="21"/>
      <c r="C27" s="55"/>
      <c r="D27" s="21"/>
      <c r="E27" s="21"/>
      <c r="F27" s="22"/>
      <c r="G27" s="21"/>
      <c r="H27" s="21"/>
      <c r="I27" s="22"/>
      <c r="J27" s="21"/>
    </row>
    <row r="28" spans="1:10" ht="12.75">
      <c r="A28" s="54"/>
      <c r="B28" s="21"/>
      <c r="C28" s="55"/>
      <c r="D28" s="21"/>
      <c r="E28" s="21"/>
      <c r="F28" s="22"/>
      <c r="G28" s="21"/>
      <c r="H28" s="21"/>
      <c r="I28" s="22"/>
      <c r="J28" s="21"/>
    </row>
    <row r="29" spans="1:10" ht="12.75">
      <c r="A29" s="54"/>
      <c r="B29" s="21"/>
      <c r="C29" s="55"/>
      <c r="D29" s="21"/>
      <c r="E29" s="21"/>
      <c r="F29" s="22"/>
      <c r="G29" s="21"/>
      <c r="H29" s="21"/>
      <c r="I29" s="22"/>
      <c r="J29" s="21"/>
    </row>
    <row r="30" spans="1:10" ht="12.75">
      <c r="A30" s="54"/>
      <c r="B30" s="21"/>
      <c r="C30" s="55"/>
      <c r="D30" s="21"/>
      <c r="E30" s="21"/>
      <c r="F30" s="22"/>
      <c r="G30" s="21"/>
      <c r="H30" s="21"/>
      <c r="I30" s="22"/>
      <c r="J30" s="21"/>
    </row>
    <row r="31" spans="1:10" ht="12.75">
      <c r="A31" s="54"/>
      <c r="B31" s="21"/>
      <c r="C31" s="55"/>
      <c r="D31" s="21"/>
      <c r="E31" s="21"/>
      <c r="F31" s="22"/>
      <c r="G31" s="21"/>
      <c r="H31" s="21"/>
      <c r="I31" s="22"/>
      <c r="J31" s="21"/>
    </row>
    <row r="32" spans="1:10" ht="12.75">
      <c r="A32" s="54"/>
      <c r="B32" s="21"/>
      <c r="C32" s="55"/>
      <c r="D32" s="21"/>
      <c r="E32" s="21"/>
      <c r="F32" s="22"/>
      <c r="G32" s="21"/>
      <c r="H32" s="21"/>
      <c r="I32" s="22"/>
      <c r="J32" s="21"/>
    </row>
    <row r="33" spans="1:10" ht="12.75">
      <c r="A33" s="54"/>
      <c r="B33" s="21"/>
      <c r="C33" s="55"/>
      <c r="D33" s="21"/>
      <c r="E33" s="21"/>
      <c r="F33" s="22"/>
      <c r="G33" s="21"/>
      <c r="H33" s="21"/>
      <c r="I33" s="22"/>
      <c r="J33" s="21"/>
    </row>
    <row r="34" spans="1:10" ht="12.75">
      <c r="A34" s="54"/>
      <c r="B34" s="21"/>
      <c r="C34" s="55"/>
      <c r="D34" s="21"/>
      <c r="E34" s="21"/>
      <c r="F34" s="22"/>
      <c r="G34" s="21"/>
      <c r="H34" s="21"/>
      <c r="I34" s="22"/>
      <c r="J34" s="21"/>
    </row>
    <row r="35" spans="1:10" ht="12.75">
      <c r="A35" s="54"/>
      <c r="B35" s="21"/>
      <c r="C35" s="55"/>
      <c r="D35" s="21"/>
      <c r="E35" s="21"/>
      <c r="F35" s="22"/>
      <c r="G35" s="21"/>
      <c r="H35" s="21"/>
      <c r="I35" s="22"/>
      <c r="J35" s="21"/>
    </row>
    <row r="36" spans="1:10" ht="12.75">
      <c r="A36" s="54"/>
      <c r="B36" s="21"/>
      <c r="C36" s="55"/>
      <c r="D36" s="21"/>
      <c r="E36" s="21"/>
      <c r="F36" s="22"/>
      <c r="G36" s="21"/>
      <c r="H36" s="21"/>
      <c r="I36" s="22"/>
      <c r="J36" s="21"/>
    </row>
    <row r="37" spans="1:10" ht="12.75">
      <c r="A37" s="54"/>
      <c r="B37" s="21"/>
      <c r="C37" s="55"/>
      <c r="D37" s="21"/>
      <c r="E37" s="21"/>
      <c r="F37" s="22"/>
      <c r="G37" s="21"/>
      <c r="H37" s="21"/>
      <c r="I37" s="22"/>
      <c r="J37" s="21"/>
    </row>
    <row r="38" spans="1:10" ht="12.75">
      <c r="A38" s="54"/>
      <c r="B38" s="21"/>
      <c r="C38" s="55"/>
      <c r="D38" s="21"/>
      <c r="E38" s="21"/>
      <c r="F38" s="22"/>
      <c r="G38" s="21"/>
      <c r="H38" s="21"/>
      <c r="I38" s="22"/>
      <c r="J38" s="21"/>
    </row>
    <row r="39" spans="1:10" ht="12.75">
      <c r="A39" s="54"/>
      <c r="B39" s="21"/>
      <c r="C39" s="55"/>
      <c r="D39" s="21"/>
      <c r="E39" s="21"/>
      <c r="F39" s="22"/>
      <c r="G39" s="21"/>
      <c r="H39" s="21"/>
      <c r="I39" s="22"/>
      <c r="J39" s="21"/>
    </row>
    <row r="40" spans="1:10" ht="12.75">
      <c r="A40" s="54"/>
      <c r="B40" s="21"/>
      <c r="C40" s="55"/>
      <c r="D40" s="21"/>
      <c r="E40" s="21"/>
      <c r="F40" s="22"/>
      <c r="G40" s="21"/>
      <c r="H40" s="21"/>
      <c r="I40" s="22"/>
      <c r="J40" s="21"/>
    </row>
    <row r="41" spans="1:10" ht="12.75">
      <c r="A41" s="54"/>
      <c r="B41" s="21"/>
      <c r="C41" s="55"/>
      <c r="D41" s="21"/>
      <c r="E41" s="21"/>
      <c r="F41" s="22"/>
      <c r="G41" s="21"/>
      <c r="H41" s="21"/>
      <c r="I41" s="22"/>
      <c r="J41" s="21"/>
    </row>
    <row r="42" spans="1:10" ht="12.75">
      <c r="A42" s="54"/>
      <c r="B42" s="21"/>
      <c r="C42" s="55"/>
      <c r="D42" s="21"/>
      <c r="E42" s="21"/>
      <c r="F42" s="22"/>
      <c r="G42" s="21"/>
      <c r="H42" s="21"/>
      <c r="I42" s="22"/>
      <c r="J42" s="21"/>
    </row>
    <row r="43" spans="1:10" ht="12.75">
      <c r="A43" s="54"/>
      <c r="B43" s="21"/>
      <c r="C43" s="55"/>
      <c r="D43" s="21"/>
      <c r="E43" s="21"/>
      <c r="F43" s="22"/>
      <c r="G43" s="21"/>
      <c r="H43" s="21"/>
      <c r="I43" s="22"/>
      <c r="J43" s="21"/>
    </row>
    <row r="44" spans="1:10" ht="12.75">
      <c r="A44" s="54"/>
      <c r="B44" s="21"/>
      <c r="C44" s="55"/>
      <c r="D44" s="21"/>
      <c r="E44" s="21"/>
      <c r="F44" s="22"/>
      <c r="G44" s="21"/>
      <c r="H44" s="21"/>
      <c r="I44" s="22"/>
      <c r="J44" s="21"/>
    </row>
    <row r="45" spans="1:10" ht="12.75">
      <c r="A45" s="54"/>
      <c r="B45" s="21"/>
      <c r="C45" s="55"/>
      <c r="D45" s="21"/>
      <c r="E45" s="21"/>
      <c r="F45" s="22"/>
      <c r="G45" s="21"/>
      <c r="H45" s="21"/>
      <c r="I45" s="22"/>
      <c r="J45" s="21"/>
    </row>
    <row r="46" spans="1:10" ht="12.75">
      <c r="A46" s="54"/>
      <c r="B46" s="21"/>
      <c r="C46" s="55"/>
      <c r="D46" s="21"/>
      <c r="E46" s="21"/>
      <c r="F46" s="22"/>
      <c r="G46" s="21"/>
      <c r="H46" s="21"/>
      <c r="I46" s="22"/>
      <c r="J46" s="21"/>
    </row>
    <row r="47" spans="1:10" ht="12.75">
      <c r="A47" s="54"/>
      <c r="B47" s="21"/>
      <c r="C47" s="55"/>
      <c r="D47" s="21"/>
      <c r="E47" s="21"/>
      <c r="F47" s="22"/>
      <c r="G47" s="21"/>
      <c r="H47" s="21"/>
      <c r="I47" s="22"/>
      <c r="J47" s="21"/>
    </row>
    <row r="48" spans="1:10" ht="12.75">
      <c r="A48" s="54"/>
      <c r="B48" s="21"/>
      <c r="C48" s="55"/>
      <c r="D48" s="21"/>
      <c r="E48" s="21"/>
      <c r="F48" s="22"/>
      <c r="G48" s="21"/>
      <c r="H48" s="21"/>
      <c r="I48" s="22"/>
      <c r="J48" s="21"/>
    </row>
    <row r="49" spans="5:10" ht="12.75">
      <c r="E49" s="47"/>
      <c r="F49" s="47"/>
      <c r="G49" s="47"/>
      <c r="H49" s="47"/>
      <c r="I49" s="47"/>
      <c r="J49" s="47"/>
    </row>
    <row r="50" spans="5:10" ht="12.75">
      <c r="E50" s="47"/>
      <c r="F50" s="47"/>
      <c r="G50" s="47"/>
      <c r="H50" s="47"/>
      <c r="I50" s="47"/>
      <c r="J50" s="47"/>
    </row>
  </sheetData>
  <mergeCells count="6">
    <mergeCell ref="E3:G3"/>
    <mergeCell ref="H3:J3"/>
    <mergeCell ref="A1:D1"/>
    <mergeCell ref="A2:D2"/>
    <mergeCell ref="A3:A4"/>
    <mergeCell ref="B3:D3"/>
  </mergeCells>
  <printOptions horizontalCentered="1"/>
  <pageMargins left="0.7480314960629921" right="0.7480314960629921" top="0.984251968503937" bottom="0.984251968503937" header="0.5118110236220472" footer="0.5118110236220472"/>
  <pageSetup horizontalDpi="300" verticalDpi="300"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K23"/>
  <sheetViews>
    <sheetView workbookViewId="0" topLeftCell="A1">
      <selection activeCell="E25" sqref="E25"/>
    </sheetView>
  </sheetViews>
  <sheetFormatPr defaultColWidth="9.140625" defaultRowHeight="12.75"/>
  <cols>
    <col min="1" max="1" width="11.00390625" style="127" bestFit="1" customWidth="1"/>
    <col min="2" max="2" width="9.00390625" style="127" customWidth="1"/>
    <col min="3" max="3" width="14.421875" style="133" bestFit="1" customWidth="1"/>
    <col min="4" max="4" width="9.421875" style="127" bestFit="1" customWidth="1"/>
    <col min="5" max="5" width="15.421875" style="133" bestFit="1" customWidth="1"/>
    <col min="6" max="6" width="9.421875" style="127" bestFit="1" customWidth="1"/>
    <col min="7" max="7" width="15.421875" style="133" bestFit="1" customWidth="1"/>
    <col min="8" max="8" width="9.421875" style="127" bestFit="1" customWidth="1"/>
    <col min="9" max="9" width="15.421875" style="133" bestFit="1" customWidth="1"/>
    <col min="10" max="10" width="9.421875" style="127" bestFit="1" customWidth="1"/>
    <col min="11" max="11" width="15.421875" style="133" bestFit="1" customWidth="1"/>
    <col min="12" max="16384" width="9.140625" style="127" customWidth="1"/>
  </cols>
  <sheetData>
    <row r="1" spans="1:11" ht="12" thickBot="1">
      <c r="A1" s="253" t="s">
        <v>163</v>
      </c>
      <c r="B1" s="253"/>
      <c r="C1" s="253"/>
      <c r="D1" s="253"/>
      <c r="E1" s="253"/>
      <c r="F1" s="253"/>
      <c r="G1" s="253"/>
      <c r="H1" s="253"/>
      <c r="I1" s="253"/>
      <c r="J1" s="253"/>
      <c r="K1" s="253"/>
    </row>
    <row r="2" spans="1:11" ht="12" thickBot="1">
      <c r="A2" s="259" t="s">
        <v>177</v>
      </c>
      <c r="B2" s="260"/>
      <c r="C2" s="260"/>
      <c r="D2" s="260"/>
      <c r="E2" s="260"/>
      <c r="F2" s="260"/>
      <c r="G2" s="260"/>
      <c r="H2" s="260"/>
      <c r="I2" s="260"/>
      <c r="J2" s="260"/>
      <c r="K2" s="260"/>
    </row>
    <row r="3" spans="1:11" ht="12.75" customHeight="1">
      <c r="A3" s="128"/>
      <c r="B3" s="255" t="s">
        <v>196</v>
      </c>
      <c r="C3" s="256"/>
      <c r="D3" s="256"/>
      <c r="E3" s="256"/>
      <c r="F3" s="256"/>
      <c r="G3" s="256"/>
      <c r="H3" s="256"/>
      <c r="I3" s="256"/>
      <c r="J3" s="256"/>
      <c r="K3" s="257"/>
    </row>
    <row r="4" spans="1:11" s="137" customFormat="1" ht="11.25">
      <c r="A4" s="134"/>
      <c r="B4" s="258" t="s">
        <v>185</v>
      </c>
      <c r="C4" s="258"/>
      <c r="D4" s="258" t="s">
        <v>181</v>
      </c>
      <c r="E4" s="258"/>
      <c r="F4" s="258" t="s">
        <v>182</v>
      </c>
      <c r="G4" s="258"/>
      <c r="H4" s="258" t="s">
        <v>183</v>
      </c>
      <c r="I4" s="258"/>
      <c r="J4" s="258" t="s">
        <v>184</v>
      </c>
      <c r="K4" s="258"/>
    </row>
    <row r="5" spans="1:11" s="137" customFormat="1" ht="11.25">
      <c r="A5" s="138" t="s">
        <v>137</v>
      </c>
      <c r="B5" s="134" t="s">
        <v>180</v>
      </c>
      <c r="C5" s="139" t="s">
        <v>178</v>
      </c>
      <c r="D5" s="134" t="s">
        <v>180</v>
      </c>
      <c r="E5" s="139" t="s">
        <v>178</v>
      </c>
      <c r="F5" s="134" t="s">
        <v>180</v>
      </c>
      <c r="G5" s="139" t="s">
        <v>178</v>
      </c>
      <c r="H5" s="134" t="s">
        <v>180</v>
      </c>
      <c r="I5" s="139" t="s">
        <v>178</v>
      </c>
      <c r="J5" s="134" t="s">
        <v>180</v>
      </c>
      <c r="K5" s="139" t="s">
        <v>178</v>
      </c>
    </row>
    <row r="6" spans="1:11" ht="11.25">
      <c r="A6" s="129" t="s">
        <v>95</v>
      </c>
      <c r="B6" s="130">
        <v>500</v>
      </c>
      <c r="C6" s="131">
        <f aca="true" t="shared" si="0" ref="C6:C14">B6*B$19*12</f>
        <v>8850000</v>
      </c>
      <c r="D6" s="130">
        <v>1625</v>
      </c>
      <c r="E6" s="131">
        <f aca="true" t="shared" si="1" ref="E6:E14">D6*D$19*12</f>
        <v>30200625</v>
      </c>
      <c r="F6" s="130">
        <v>2750</v>
      </c>
      <c r="G6" s="131">
        <f aca="true" t="shared" si="2" ref="G6:G14">F6*F$19*12</f>
        <v>53664187.5</v>
      </c>
      <c r="H6" s="130">
        <v>3875</v>
      </c>
      <c r="I6" s="131">
        <f aca="true" t="shared" si="3" ref="I6:I14">H6*H$19*12</f>
        <v>79398604.6875</v>
      </c>
      <c r="J6" s="130">
        <v>5000</v>
      </c>
      <c r="K6" s="131">
        <f aca="true" t="shared" si="4" ref="K6:K14">J6*J$19*12</f>
        <v>107572303.125</v>
      </c>
    </row>
    <row r="7" spans="1:11" ht="11.25">
      <c r="A7" s="129" t="s">
        <v>101</v>
      </c>
      <c r="B7" s="130">
        <v>500</v>
      </c>
      <c r="C7" s="131">
        <f t="shared" si="0"/>
        <v>8850000</v>
      </c>
      <c r="D7" s="130">
        <v>1625</v>
      </c>
      <c r="E7" s="131">
        <f t="shared" si="1"/>
        <v>30200625</v>
      </c>
      <c r="F7" s="130">
        <v>2750</v>
      </c>
      <c r="G7" s="131">
        <f t="shared" si="2"/>
        <v>53664187.5</v>
      </c>
      <c r="H7" s="130">
        <v>3875</v>
      </c>
      <c r="I7" s="131">
        <f t="shared" si="3"/>
        <v>79398604.6875</v>
      </c>
      <c r="J7" s="130">
        <v>5000</v>
      </c>
      <c r="K7" s="131">
        <f t="shared" si="4"/>
        <v>107572303.125</v>
      </c>
    </row>
    <row r="8" spans="1:11" ht="11.25">
      <c r="A8" s="129" t="s">
        <v>93</v>
      </c>
      <c r="B8" s="130">
        <v>500</v>
      </c>
      <c r="C8" s="131">
        <f t="shared" si="0"/>
        <v>8850000</v>
      </c>
      <c r="D8" s="130">
        <v>875</v>
      </c>
      <c r="E8" s="131">
        <f t="shared" si="1"/>
        <v>16261875</v>
      </c>
      <c r="F8" s="130">
        <v>1250</v>
      </c>
      <c r="G8" s="131">
        <f t="shared" si="2"/>
        <v>24392812.5</v>
      </c>
      <c r="H8" s="130">
        <v>1625</v>
      </c>
      <c r="I8" s="131">
        <f t="shared" si="3"/>
        <v>33296189.0625</v>
      </c>
      <c r="J8" s="130">
        <v>2000</v>
      </c>
      <c r="K8" s="131">
        <f t="shared" si="4"/>
        <v>43028921.25000001</v>
      </c>
    </row>
    <row r="9" spans="1:11" ht="11.25">
      <c r="A9" s="129" t="s">
        <v>99</v>
      </c>
      <c r="B9" s="130">
        <v>500</v>
      </c>
      <c r="C9" s="131">
        <f t="shared" si="0"/>
        <v>8850000</v>
      </c>
      <c r="D9" s="130">
        <v>1625</v>
      </c>
      <c r="E9" s="131">
        <f t="shared" si="1"/>
        <v>30200625</v>
      </c>
      <c r="F9" s="130">
        <v>2750</v>
      </c>
      <c r="G9" s="131">
        <f t="shared" si="2"/>
        <v>53664187.5</v>
      </c>
      <c r="H9" s="130">
        <v>3875</v>
      </c>
      <c r="I9" s="131">
        <f t="shared" si="3"/>
        <v>79398604.6875</v>
      </c>
      <c r="J9" s="130">
        <v>5000</v>
      </c>
      <c r="K9" s="131">
        <f t="shared" si="4"/>
        <v>107572303.125</v>
      </c>
    </row>
    <row r="10" spans="1:11" ht="11.25">
      <c r="A10" s="129" t="s">
        <v>98</v>
      </c>
      <c r="B10" s="130">
        <v>500</v>
      </c>
      <c r="C10" s="131">
        <f t="shared" si="0"/>
        <v>8850000</v>
      </c>
      <c r="D10" s="130">
        <v>1625</v>
      </c>
      <c r="E10" s="131">
        <f t="shared" si="1"/>
        <v>30200625</v>
      </c>
      <c r="F10" s="130">
        <v>2750</v>
      </c>
      <c r="G10" s="131">
        <f t="shared" si="2"/>
        <v>53664187.5</v>
      </c>
      <c r="H10" s="130">
        <v>3875</v>
      </c>
      <c r="I10" s="131">
        <f t="shared" si="3"/>
        <v>79398604.6875</v>
      </c>
      <c r="J10" s="130">
        <v>5000</v>
      </c>
      <c r="K10" s="131">
        <f t="shared" si="4"/>
        <v>107572303.125</v>
      </c>
    </row>
    <row r="11" spans="1:11" ht="11.25">
      <c r="A11" s="129" t="s">
        <v>100</v>
      </c>
      <c r="B11" s="130">
        <v>500</v>
      </c>
      <c r="C11" s="131">
        <f t="shared" si="0"/>
        <v>8850000</v>
      </c>
      <c r="D11" s="130">
        <v>1125</v>
      </c>
      <c r="E11" s="131">
        <f t="shared" si="1"/>
        <v>20908125</v>
      </c>
      <c r="F11" s="130">
        <v>1750</v>
      </c>
      <c r="G11" s="131">
        <f t="shared" si="2"/>
        <v>34149937.5</v>
      </c>
      <c r="H11" s="130">
        <v>2375</v>
      </c>
      <c r="I11" s="131">
        <f t="shared" si="3"/>
        <v>48663660.9375</v>
      </c>
      <c r="J11" s="130">
        <v>3000</v>
      </c>
      <c r="K11" s="131">
        <f t="shared" si="4"/>
        <v>64543381.875</v>
      </c>
    </row>
    <row r="12" spans="1:11" ht="11.25">
      <c r="A12" s="129" t="s">
        <v>96</v>
      </c>
      <c r="B12" s="130">
        <v>500</v>
      </c>
      <c r="C12" s="131">
        <f t="shared" si="0"/>
        <v>8850000</v>
      </c>
      <c r="D12" s="130">
        <v>1125</v>
      </c>
      <c r="E12" s="131">
        <f t="shared" si="1"/>
        <v>20908125</v>
      </c>
      <c r="F12" s="130">
        <v>1750</v>
      </c>
      <c r="G12" s="131">
        <f t="shared" si="2"/>
        <v>34149937.5</v>
      </c>
      <c r="H12" s="130">
        <v>2375</v>
      </c>
      <c r="I12" s="131">
        <f t="shared" si="3"/>
        <v>48663660.9375</v>
      </c>
      <c r="J12" s="130">
        <v>3000</v>
      </c>
      <c r="K12" s="131">
        <f t="shared" si="4"/>
        <v>64543381.875</v>
      </c>
    </row>
    <row r="13" spans="1:11" ht="11.25">
      <c r="A13" s="129" t="s">
        <v>97</v>
      </c>
      <c r="B13" s="130">
        <v>500</v>
      </c>
      <c r="C13" s="131">
        <f t="shared" si="0"/>
        <v>8850000</v>
      </c>
      <c r="D13" s="130">
        <v>1125</v>
      </c>
      <c r="E13" s="131">
        <f t="shared" si="1"/>
        <v>20908125</v>
      </c>
      <c r="F13" s="130">
        <v>1750</v>
      </c>
      <c r="G13" s="131">
        <f t="shared" si="2"/>
        <v>34149937.5</v>
      </c>
      <c r="H13" s="130">
        <v>2375</v>
      </c>
      <c r="I13" s="131">
        <f t="shared" si="3"/>
        <v>48663660.9375</v>
      </c>
      <c r="J13" s="130">
        <v>3000</v>
      </c>
      <c r="K13" s="131">
        <f t="shared" si="4"/>
        <v>64543381.875</v>
      </c>
    </row>
    <row r="14" spans="1:11" ht="11.25">
      <c r="A14" s="129" t="s">
        <v>94</v>
      </c>
      <c r="B14" s="130">
        <v>500</v>
      </c>
      <c r="C14" s="131">
        <f t="shared" si="0"/>
        <v>8850000</v>
      </c>
      <c r="D14" s="130">
        <v>875</v>
      </c>
      <c r="E14" s="131">
        <f t="shared" si="1"/>
        <v>16261875</v>
      </c>
      <c r="F14" s="130">
        <v>1250</v>
      </c>
      <c r="G14" s="131">
        <f t="shared" si="2"/>
        <v>24392812.5</v>
      </c>
      <c r="H14" s="130">
        <v>1625</v>
      </c>
      <c r="I14" s="131">
        <f t="shared" si="3"/>
        <v>33296189.0625</v>
      </c>
      <c r="J14" s="130">
        <v>2000</v>
      </c>
      <c r="K14" s="131">
        <f t="shared" si="4"/>
        <v>43028921.25000001</v>
      </c>
    </row>
    <row r="15" spans="1:11" ht="11.25">
      <c r="A15" s="129"/>
      <c r="B15" s="130"/>
      <c r="C15" s="131"/>
      <c r="D15" s="130"/>
      <c r="E15" s="131"/>
      <c r="F15" s="130"/>
      <c r="G15" s="131"/>
      <c r="H15" s="130"/>
      <c r="I15" s="131"/>
      <c r="J15" s="130"/>
      <c r="K15" s="131"/>
    </row>
    <row r="16" spans="1:11" s="137" customFormat="1" ht="11.25">
      <c r="A16" s="134" t="s">
        <v>138</v>
      </c>
      <c r="B16" s="135">
        <f aca="true" t="shared" si="5" ref="B16:K16">SUM(B6:B15)</f>
        <v>4500</v>
      </c>
      <c r="C16" s="136">
        <f t="shared" si="5"/>
        <v>79650000</v>
      </c>
      <c r="D16" s="135">
        <f t="shared" si="5"/>
        <v>11625</v>
      </c>
      <c r="E16" s="136">
        <f t="shared" si="5"/>
        <v>216050625</v>
      </c>
      <c r="F16" s="135">
        <f t="shared" si="5"/>
        <v>18750</v>
      </c>
      <c r="G16" s="136">
        <f t="shared" si="5"/>
        <v>365892187.5</v>
      </c>
      <c r="H16" s="135">
        <f t="shared" si="5"/>
        <v>25875</v>
      </c>
      <c r="I16" s="136">
        <f t="shared" si="5"/>
        <v>530177779.6875</v>
      </c>
      <c r="J16" s="135">
        <f t="shared" si="5"/>
        <v>33000</v>
      </c>
      <c r="K16" s="136">
        <f t="shared" si="5"/>
        <v>709977200.625</v>
      </c>
    </row>
    <row r="18" spans="1:2" ht="11.25">
      <c r="A18" s="132"/>
      <c r="B18" s="127" t="s">
        <v>179</v>
      </c>
    </row>
    <row r="19" spans="2:10" ht="11.25">
      <c r="B19" s="133">
        <v>1475</v>
      </c>
      <c r="D19" s="133">
        <f>B19*5%+B19</f>
        <v>1548.75</v>
      </c>
      <c r="F19" s="133">
        <f>D19*5%+D19</f>
        <v>1626.1875</v>
      </c>
      <c r="H19" s="133">
        <f>F19*5%+F19</f>
        <v>1707.496875</v>
      </c>
      <c r="J19" s="133">
        <f>H19*5%+H19</f>
        <v>1792.8717187500001</v>
      </c>
    </row>
    <row r="22" ht="12">
      <c r="A22" s="150" t="s">
        <v>189</v>
      </c>
    </row>
    <row r="23" spans="1:11" ht="66" customHeight="1">
      <c r="A23" s="254" t="s">
        <v>190</v>
      </c>
      <c r="B23" s="254"/>
      <c r="C23" s="254"/>
      <c r="D23" s="254"/>
      <c r="E23" s="254"/>
      <c r="F23" s="254"/>
      <c r="G23" s="254"/>
      <c r="H23" s="254"/>
      <c r="I23" s="254"/>
      <c r="J23" s="254"/>
      <c r="K23" s="254"/>
    </row>
  </sheetData>
  <mergeCells count="9">
    <mergeCell ref="A1:K1"/>
    <mergeCell ref="A23:K23"/>
    <mergeCell ref="B3:K3"/>
    <mergeCell ref="J4:K4"/>
    <mergeCell ref="A2:K2"/>
    <mergeCell ref="B4:C4"/>
    <mergeCell ref="D4:E4"/>
    <mergeCell ref="F4:G4"/>
    <mergeCell ref="H4:I4"/>
  </mergeCells>
  <printOptions horizontalCentered="1"/>
  <pageMargins left="0.7086614173228347" right="0.4330708661417323" top="0.984251968503937" bottom="0.984251968503937" header="0.5118110236220472" footer="0.5118110236220472"/>
  <pageSetup horizontalDpi="600" verticalDpi="6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A1" sqref="A1:K19"/>
    </sheetView>
  </sheetViews>
  <sheetFormatPr defaultColWidth="9.140625" defaultRowHeight="12.75"/>
  <cols>
    <col min="1" max="1" width="11.00390625" style="1" bestFit="1" customWidth="1"/>
    <col min="2" max="2" width="12.8515625" style="1" customWidth="1"/>
    <col min="3" max="3" width="10.00390625" style="1" bestFit="1" customWidth="1"/>
    <col min="4" max="4" width="11.8515625" style="146" bestFit="1" customWidth="1"/>
    <col min="5" max="5" width="12.28125" style="1" bestFit="1" customWidth="1"/>
    <col min="6" max="6" width="11.8515625" style="1" bestFit="1" customWidth="1"/>
    <col min="7" max="7" width="12.28125" style="1" bestFit="1" customWidth="1"/>
    <col min="8" max="8" width="11.8515625" style="1" bestFit="1" customWidth="1"/>
    <col min="9" max="9" width="12.28125" style="1" bestFit="1" customWidth="1"/>
    <col min="10" max="10" width="11.8515625" style="146" bestFit="1" customWidth="1"/>
    <col min="11" max="11" width="12.28125" style="1" bestFit="1" customWidth="1"/>
    <col min="12" max="16384" width="9.140625" style="1" customWidth="1"/>
  </cols>
  <sheetData>
    <row r="1" spans="1:11" ht="12.75" thickBot="1">
      <c r="A1" s="253" t="s">
        <v>186</v>
      </c>
      <c r="B1" s="253"/>
      <c r="C1" s="253"/>
      <c r="D1" s="253"/>
      <c r="E1" s="253"/>
      <c r="F1" s="253"/>
      <c r="G1" s="253"/>
      <c r="H1" s="253"/>
      <c r="I1" s="253"/>
      <c r="J1" s="253"/>
      <c r="K1" s="253"/>
    </row>
    <row r="2" spans="1:11" ht="12.75" thickBot="1">
      <c r="A2" s="261" t="s">
        <v>177</v>
      </c>
      <c r="B2" s="262"/>
      <c r="C2" s="262"/>
      <c r="D2" s="262"/>
      <c r="E2" s="262"/>
      <c r="F2" s="262"/>
      <c r="G2" s="262"/>
      <c r="H2" s="262"/>
      <c r="I2" s="262"/>
      <c r="J2" s="262"/>
      <c r="K2" s="262"/>
    </row>
    <row r="3" spans="1:11" ht="12.75" customHeight="1">
      <c r="A3" s="128"/>
      <c r="B3" s="255" t="s">
        <v>196</v>
      </c>
      <c r="C3" s="256"/>
      <c r="D3" s="256"/>
      <c r="E3" s="256"/>
      <c r="F3" s="256"/>
      <c r="G3" s="256"/>
      <c r="H3" s="256"/>
      <c r="I3" s="256"/>
      <c r="J3" s="256"/>
      <c r="K3" s="257"/>
    </row>
    <row r="4" spans="1:11" ht="12">
      <c r="A4" s="134"/>
      <c r="B4" s="258" t="s">
        <v>185</v>
      </c>
      <c r="C4" s="258"/>
      <c r="D4" s="258" t="s">
        <v>181</v>
      </c>
      <c r="E4" s="258"/>
      <c r="F4" s="258" t="s">
        <v>182</v>
      </c>
      <c r="G4" s="258"/>
      <c r="H4" s="258" t="s">
        <v>183</v>
      </c>
      <c r="I4" s="258"/>
      <c r="J4" s="258" t="s">
        <v>184</v>
      </c>
      <c r="K4" s="258"/>
    </row>
    <row r="5" spans="1:11" s="149" customFormat="1" ht="12">
      <c r="A5" s="138" t="s">
        <v>137</v>
      </c>
      <c r="B5" s="138" t="s">
        <v>202</v>
      </c>
      <c r="C5" s="148" t="s">
        <v>178</v>
      </c>
      <c r="D5" s="138" t="s">
        <v>202</v>
      </c>
      <c r="E5" s="148" t="s">
        <v>178</v>
      </c>
      <c r="F5" s="138" t="s">
        <v>202</v>
      </c>
      <c r="G5" s="148" t="s">
        <v>178</v>
      </c>
      <c r="H5" s="138" t="s">
        <v>202</v>
      </c>
      <c r="I5" s="148" t="s">
        <v>178</v>
      </c>
      <c r="J5" s="138" t="s">
        <v>202</v>
      </c>
      <c r="K5" s="148" t="s">
        <v>178</v>
      </c>
    </row>
    <row r="6" spans="1:11" ht="12">
      <c r="A6" s="129" t="s">
        <v>95</v>
      </c>
      <c r="B6" s="140" t="s">
        <v>188</v>
      </c>
      <c r="C6" s="131">
        <f aca="true" t="shared" si="0" ref="C6:C14">B6*B$19*12</f>
        <v>0</v>
      </c>
      <c r="D6" s="142">
        <v>4</v>
      </c>
      <c r="E6" s="131">
        <f aca="true" t="shared" si="1" ref="E6:E14">D6*D$19</f>
        <v>4200000</v>
      </c>
      <c r="F6" s="142">
        <v>3</v>
      </c>
      <c r="G6" s="131">
        <f>F$6*F$19</f>
        <v>3307500</v>
      </c>
      <c r="H6" s="142">
        <v>1</v>
      </c>
      <c r="I6" s="131">
        <f aca="true" t="shared" si="2" ref="I6:I14">H$19*H$6</f>
        <v>1157625</v>
      </c>
      <c r="J6" s="143">
        <v>1</v>
      </c>
      <c r="K6" s="131">
        <f aca="true" t="shared" si="3" ref="K6:K14">J$19*J$6</f>
        <v>1215506.25</v>
      </c>
    </row>
    <row r="7" spans="1:11" ht="12">
      <c r="A7" s="129" t="s">
        <v>101</v>
      </c>
      <c r="B7" s="140" t="s">
        <v>188</v>
      </c>
      <c r="C7" s="131">
        <f t="shared" si="0"/>
        <v>0</v>
      </c>
      <c r="D7" s="142">
        <v>3</v>
      </c>
      <c r="E7" s="131">
        <f t="shared" si="1"/>
        <v>3150000</v>
      </c>
      <c r="F7" s="142">
        <v>2</v>
      </c>
      <c r="G7" s="131">
        <f>F7*F19</f>
        <v>2205000</v>
      </c>
      <c r="H7" s="142">
        <v>1</v>
      </c>
      <c r="I7" s="131">
        <f t="shared" si="2"/>
        <v>1157625</v>
      </c>
      <c r="J7" s="143">
        <v>1</v>
      </c>
      <c r="K7" s="131">
        <f t="shared" si="3"/>
        <v>1215506.25</v>
      </c>
    </row>
    <row r="8" spans="1:11" ht="12">
      <c r="A8" s="129" t="s">
        <v>93</v>
      </c>
      <c r="B8" s="140" t="s">
        <v>188</v>
      </c>
      <c r="C8" s="131">
        <f t="shared" si="0"/>
        <v>0</v>
      </c>
      <c r="D8" s="143">
        <v>1</v>
      </c>
      <c r="E8" s="131">
        <f t="shared" si="1"/>
        <v>1050000</v>
      </c>
      <c r="F8" s="143">
        <v>1</v>
      </c>
      <c r="G8" s="131">
        <f>F$6*F$19</f>
        <v>3307500</v>
      </c>
      <c r="H8" s="143">
        <v>1</v>
      </c>
      <c r="I8" s="131">
        <f t="shared" si="2"/>
        <v>1157625</v>
      </c>
      <c r="J8" s="143">
        <v>1</v>
      </c>
      <c r="K8" s="131">
        <f t="shared" si="3"/>
        <v>1215506.25</v>
      </c>
    </row>
    <row r="9" spans="1:11" ht="12">
      <c r="A9" s="129" t="s">
        <v>99</v>
      </c>
      <c r="B9" s="140" t="s">
        <v>188</v>
      </c>
      <c r="C9" s="131">
        <f t="shared" si="0"/>
        <v>0</v>
      </c>
      <c r="D9" s="142">
        <v>4</v>
      </c>
      <c r="E9" s="131">
        <f t="shared" si="1"/>
        <v>4200000</v>
      </c>
      <c r="F9" s="142">
        <v>3</v>
      </c>
      <c r="G9" s="131">
        <f>F9*F21</f>
        <v>0</v>
      </c>
      <c r="H9" s="142">
        <v>1</v>
      </c>
      <c r="I9" s="131">
        <f t="shared" si="2"/>
        <v>1157625</v>
      </c>
      <c r="J9" s="143">
        <v>1</v>
      </c>
      <c r="K9" s="131">
        <f t="shared" si="3"/>
        <v>1215506.25</v>
      </c>
    </row>
    <row r="10" spans="1:11" ht="12">
      <c r="A10" s="129" t="s">
        <v>98</v>
      </c>
      <c r="B10" s="140" t="s">
        <v>188</v>
      </c>
      <c r="C10" s="131">
        <f t="shared" si="0"/>
        <v>0</v>
      </c>
      <c r="D10" s="142">
        <v>3</v>
      </c>
      <c r="E10" s="131">
        <f t="shared" si="1"/>
        <v>3150000</v>
      </c>
      <c r="F10" s="142">
        <v>2</v>
      </c>
      <c r="G10" s="131">
        <f>F$6*F$19</f>
        <v>3307500</v>
      </c>
      <c r="H10" s="142">
        <v>1</v>
      </c>
      <c r="I10" s="131">
        <f t="shared" si="2"/>
        <v>1157625</v>
      </c>
      <c r="J10" s="143">
        <v>1</v>
      </c>
      <c r="K10" s="131">
        <f t="shared" si="3"/>
        <v>1215506.25</v>
      </c>
    </row>
    <row r="11" spans="1:11" ht="12">
      <c r="A11" s="129" t="s">
        <v>100</v>
      </c>
      <c r="B11" s="140" t="s">
        <v>188</v>
      </c>
      <c r="C11" s="131">
        <f t="shared" si="0"/>
        <v>0</v>
      </c>
      <c r="D11" s="142">
        <v>2</v>
      </c>
      <c r="E11" s="131">
        <f t="shared" si="1"/>
        <v>2100000</v>
      </c>
      <c r="F11" s="142">
        <v>2</v>
      </c>
      <c r="G11" s="131">
        <f>F11*F23</f>
        <v>0</v>
      </c>
      <c r="H11" s="142">
        <v>1</v>
      </c>
      <c r="I11" s="131">
        <f t="shared" si="2"/>
        <v>1157625</v>
      </c>
      <c r="J11" s="143">
        <v>1</v>
      </c>
      <c r="K11" s="131">
        <f t="shared" si="3"/>
        <v>1215506.25</v>
      </c>
    </row>
    <row r="12" spans="1:11" ht="12">
      <c r="A12" s="129" t="s">
        <v>96</v>
      </c>
      <c r="B12" s="140" t="s">
        <v>188</v>
      </c>
      <c r="C12" s="131">
        <f t="shared" si="0"/>
        <v>0</v>
      </c>
      <c r="D12" s="142">
        <v>3</v>
      </c>
      <c r="E12" s="131">
        <f t="shared" si="1"/>
        <v>3150000</v>
      </c>
      <c r="F12" s="142">
        <v>2</v>
      </c>
      <c r="G12" s="131">
        <f>F$6*F$19</f>
        <v>3307500</v>
      </c>
      <c r="H12" s="142">
        <v>1</v>
      </c>
      <c r="I12" s="131">
        <f t="shared" si="2"/>
        <v>1157625</v>
      </c>
      <c r="J12" s="143">
        <v>1</v>
      </c>
      <c r="K12" s="131">
        <f t="shared" si="3"/>
        <v>1215506.25</v>
      </c>
    </row>
    <row r="13" spans="1:11" ht="12">
      <c r="A13" s="129" t="s">
        <v>97</v>
      </c>
      <c r="B13" s="140" t="s">
        <v>188</v>
      </c>
      <c r="C13" s="131">
        <f t="shared" si="0"/>
        <v>0</v>
      </c>
      <c r="D13" s="142">
        <v>2</v>
      </c>
      <c r="E13" s="131">
        <f t="shared" si="1"/>
        <v>2100000</v>
      </c>
      <c r="F13" s="142">
        <v>2</v>
      </c>
      <c r="G13" s="131">
        <f>F13*F25</f>
        <v>0</v>
      </c>
      <c r="H13" s="142">
        <v>1</v>
      </c>
      <c r="I13" s="131">
        <f t="shared" si="2"/>
        <v>1157625</v>
      </c>
      <c r="J13" s="143">
        <v>1</v>
      </c>
      <c r="K13" s="131">
        <f t="shared" si="3"/>
        <v>1215506.25</v>
      </c>
    </row>
    <row r="14" spans="1:11" ht="12">
      <c r="A14" s="129" t="s">
        <v>94</v>
      </c>
      <c r="B14" s="140" t="s">
        <v>188</v>
      </c>
      <c r="C14" s="131">
        <f t="shared" si="0"/>
        <v>0</v>
      </c>
      <c r="D14" s="143">
        <v>1</v>
      </c>
      <c r="E14" s="131">
        <f t="shared" si="1"/>
        <v>1050000</v>
      </c>
      <c r="F14" s="143">
        <v>1</v>
      </c>
      <c r="G14" s="131">
        <f>F$6*F$19</f>
        <v>3307500</v>
      </c>
      <c r="H14" s="143">
        <v>1</v>
      </c>
      <c r="I14" s="131">
        <f t="shared" si="2"/>
        <v>1157625</v>
      </c>
      <c r="J14" s="143">
        <v>1</v>
      </c>
      <c r="K14" s="131">
        <f t="shared" si="3"/>
        <v>1215506.25</v>
      </c>
    </row>
    <row r="15" spans="1:11" ht="12">
      <c r="A15" s="129"/>
      <c r="B15" s="130"/>
      <c r="C15" s="131"/>
      <c r="D15" s="142"/>
      <c r="E15" s="131"/>
      <c r="F15" s="130"/>
      <c r="G15" s="131"/>
      <c r="H15" s="130"/>
      <c r="I15" s="131"/>
      <c r="J15" s="142"/>
      <c r="K15" s="131"/>
    </row>
    <row r="16" spans="1:11" ht="12">
      <c r="A16" s="134" t="s">
        <v>138</v>
      </c>
      <c r="B16" s="141" t="s">
        <v>188</v>
      </c>
      <c r="C16" s="136">
        <f aca="true" t="shared" si="4" ref="C16:I16">SUM(C6:C15)</f>
        <v>0</v>
      </c>
      <c r="D16" s="144">
        <f t="shared" si="4"/>
        <v>23</v>
      </c>
      <c r="E16" s="136">
        <f t="shared" si="4"/>
        <v>24150000</v>
      </c>
      <c r="F16" s="135">
        <f t="shared" si="4"/>
        <v>18</v>
      </c>
      <c r="G16" s="136">
        <f t="shared" si="4"/>
        <v>18742500</v>
      </c>
      <c r="H16" s="135">
        <f t="shared" si="4"/>
        <v>9</v>
      </c>
      <c r="I16" s="136">
        <f t="shared" si="4"/>
        <v>10418625</v>
      </c>
      <c r="J16" s="147" t="s">
        <v>188</v>
      </c>
      <c r="K16" s="136">
        <f>SUM(K6:K15)</f>
        <v>10939556.25</v>
      </c>
    </row>
    <row r="17" spans="1:11" ht="12">
      <c r="A17" s="127"/>
      <c r="B17" s="127"/>
      <c r="C17" s="133"/>
      <c r="D17" s="132"/>
      <c r="E17" s="133"/>
      <c r="F17" s="127"/>
      <c r="G17" s="133"/>
      <c r="H17" s="127"/>
      <c r="I17" s="133"/>
      <c r="J17" s="132"/>
      <c r="K17" s="133"/>
    </row>
    <row r="18" spans="1:11" ht="12">
      <c r="A18" s="132"/>
      <c r="B18" s="127" t="s">
        <v>187</v>
      </c>
      <c r="C18" s="133"/>
      <c r="D18" s="132"/>
      <c r="E18" s="133"/>
      <c r="F18" s="127"/>
      <c r="G18" s="133"/>
      <c r="H18" s="127"/>
      <c r="I18" s="133"/>
      <c r="J18" s="132"/>
      <c r="K18" s="133"/>
    </row>
    <row r="19" spans="1:11" ht="12">
      <c r="A19" s="127"/>
      <c r="B19" s="133">
        <v>1000000</v>
      </c>
      <c r="C19" s="133"/>
      <c r="D19" s="145">
        <f>B19*5%+B19</f>
        <v>1050000</v>
      </c>
      <c r="E19" s="133"/>
      <c r="F19" s="133">
        <f>D19*5%+D19</f>
        <v>1102500</v>
      </c>
      <c r="G19" s="133"/>
      <c r="H19" s="133">
        <f>F19*5%+F19</f>
        <v>1157625</v>
      </c>
      <c r="I19" s="133"/>
      <c r="J19" s="145">
        <f>H19*5%+H19</f>
        <v>1215506.25</v>
      </c>
      <c r="K19" s="133"/>
    </row>
    <row r="20" spans="1:11" ht="12">
      <c r="A20" s="127"/>
      <c r="B20" s="127"/>
      <c r="C20" s="133"/>
      <c r="D20" s="132"/>
      <c r="E20" s="133"/>
      <c r="F20" s="127"/>
      <c r="G20" s="133"/>
      <c r="H20" s="127"/>
      <c r="I20" s="133"/>
      <c r="J20" s="132"/>
      <c r="K20" s="133"/>
    </row>
  </sheetData>
  <mergeCells count="8">
    <mergeCell ref="A1:K1"/>
    <mergeCell ref="A2:K2"/>
    <mergeCell ref="J4:K4"/>
    <mergeCell ref="B3:K3"/>
    <mergeCell ref="B4:C4"/>
    <mergeCell ref="D4:E4"/>
    <mergeCell ref="F4:G4"/>
    <mergeCell ref="H4:I4"/>
  </mergeCells>
  <printOptions/>
  <pageMargins left="0.75" right="0.75" top="1" bottom="1" header="0.5" footer="0.5"/>
  <pageSetup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PMG</cp:lastModifiedBy>
  <cp:lastPrinted>2005-06-28T12:21:17Z</cp:lastPrinted>
  <dcterms:created xsi:type="dcterms:W3CDTF">1996-10-14T23:33:28Z</dcterms:created>
  <dcterms:modified xsi:type="dcterms:W3CDTF">2005-09-02T08:10:11Z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