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240" windowWidth="6315" windowHeight="4125" tabRatio="599" firstSheet="4" activeTab="0"/>
  </bookViews>
  <sheets>
    <sheet name="Cover" sheetId="1" r:id="rId1"/>
    <sheet name="Index" sheetId="2" r:id="rId2"/>
    <sheet name="Income1" sheetId="3" r:id="rId3"/>
    <sheet name="Income2" sheetId="4" r:id="rId4"/>
    <sheet name="Summary of variances" sheetId="5" r:id="rId5"/>
    <sheet name="Sheet1" sheetId="6" r:id="rId6"/>
    <sheet name="Graphs" sheetId="7" r:id="rId7"/>
    <sheet name="Sub-Prog" sheetId="8" r:id="rId8"/>
  </sheets>
  <definedNames>
    <definedName name="_xlnm.Print_Area" localSheetId="0">'Cover'!$A$1:$P$42</definedName>
    <definedName name="_xlnm.Print_Area" localSheetId="6">'Graphs'!$A$1:$P$143</definedName>
    <definedName name="_xlnm.Print_Area" localSheetId="2">'Income1'!$A$1:$L$62</definedName>
    <definedName name="_xlnm.Print_Area" localSheetId="3">'Income2'!$A$1:$S$156</definedName>
    <definedName name="_xlnm.Print_Area" localSheetId="1">'Index'!$A$1:$C$18</definedName>
    <definedName name="_xlnm.Print_Area" localSheetId="7">'Sub-Prog'!$A$1:$T$120</definedName>
    <definedName name="_xlnm.Print_Area" localSheetId="4">'Summary of variances'!$A$1:$AZ$38</definedName>
  </definedNames>
  <calcPr fullCalcOnLoad="1"/>
</workbook>
</file>

<file path=xl/sharedStrings.xml><?xml version="1.0" encoding="utf-8"?>
<sst xmlns="http://schemas.openxmlformats.org/spreadsheetml/2006/main" count="621" uniqueCount="150">
  <si>
    <t>CONTENTS:</t>
  </si>
  <si>
    <t>Note:</t>
  </si>
  <si>
    <t>INCOME</t>
  </si>
  <si>
    <t>Actual</t>
  </si>
  <si>
    <t>Voted funds</t>
  </si>
  <si>
    <t>EXPENDITURE</t>
  </si>
  <si>
    <t>Voted Funds</t>
  </si>
  <si>
    <t>Total Expenditure</t>
  </si>
  <si>
    <t>EXPENSES PER PROGRAMME</t>
  </si>
  <si>
    <t>Programme 1: Administration</t>
  </si>
  <si>
    <t>Special Functions</t>
  </si>
  <si>
    <t>EXPENSES PER STANDARD ITEM</t>
  </si>
  <si>
    <t>Personnel expenditure</t>
  </si>
  <si>
    <t>Administrative expenditure</t>
  </si>
  <si>
    <t>Inventory</t>
  </si>
  <si>
    <t>Equipment</t>
  </si>
  <si>
    <t>Land and buildings</t>
  </si>
  <si>
    <t>Professional and special services</t>
  </si>
  <si>
    <t>Transfer payments</t>
  </si>
  <si>
    <t>Miscellaneous</t>
  </si>
  <si>
    <t>TOTAL EXPENDITURE</t>
  </si>
  <si>
    <t>Capital expenditure</t>
  </si>
  <si>
    <t>Current expenditure</t>
  </si>
  <si>
    <t>Capital transfers</t>
  </si>
  <si>
    <t>Current transfers</t>
  </si>
  <si>
    <t>Total</t>
  </si>
  <si>
    <t>Monthly</t>
  </si>
  <si>
    <t>Budget</t>
  </si>
  <si>
    <t>Variance</t>
  </si>
  <si>
    <t>pm</t>
  </si>
  <si>
    <t>FOR THE YEAR</t>
  </si>
  <si>
    <t xml:space="preserve">Programme 2: Administration of </t>
  </si>
  <si>
    <t>Courts</t>
  </si>
  <si>
    <t xml:space="preserve">Programme 5: Auxiliary &amp; </t>
  </si>
  <si>
    <t>Authority</t>
  </si>
  <si>
    <t xml:space="preserve">Associated Services </t>
  </si>
  <si>
    <t xml:space="preserve">Average </t>
  </si>
  <si>
    <t>Average</t>
  </si>
  <si>
    <t>Minister</t>
  </si>
  <si>
    <t xml:space="preserve">Actual </t>
  </si>
  <si>
    <t>Humans Right Commission</t>
  </si>
  <si>
    <t>President Fund</t>
  </si>
  <si>
    <t>Special Investigative Unit</t>
  </si>
  <si>
    <t>Judicial Service Commission</t>
  </si>
  <si>
    <t>Magistrate Commission</t>
  </si>
  <si>
    <t>Legal Aid Board</t>
  </si>
  <si>
    <t>Public Protector</t>
  </si>
  <si>
    <t>TOTAL - PROGRAMME 1</t>
  </si>
  <si>
    <t>TOTAL - PROGRAMME 2</t>
  </si>
  <si>
    <t>TOTAL - PROGRAMME 3</t>
  </si>
  <si>
    <t>TOTAL - PROGRAMME 4</t>
  </si>
  <si>
    <t xml:space="preserve">Interception and Monitoring </t>
  </si>
  <si>
    <t>Gender Equality</t>
  </si>
  <si>
    <t>Independent Electoral Commission</t>
  </si>
  <si>
    <t>Capital Works</t>
  </si>
  <si>
    <t>GRAND TOTAL</t>
  </si>
  <si>
    <t>STATUTORY VOTED FUNDS (JUDGES)</t>
  </si>
  <si>
    <t>TOTAL - PROGRAMME 5</t>
  </si>
  <si>
    <t>Year to Date</t>
  </si>
  <si>
    <t>Special Function</t>
  </si>
  <si>
    <t>Page</t>
  </si>
  <si>
    <t>NET SURPLUS/ (DEFICIT)</t>
  </si>
  <si>
    <t xml:space="preserve">Programme 4: National </t>
  </si>
  <si>
    <t xml:space="preserve">YTD </t>
  </si>
  <si>
    <t>NET SURPLUS /(DEFICIT)</t>
  </si>
  <si>
    <t>Programme 3: State Legal Services</t>
  </si>
  <si>
    <t>Prosecuting Authority</t>
  </si>
  <si>
    <t>ECONOMIC CLASSIFICATION OF</t>
  </si>
  <si>
    <t xml:space="preserve">Other voted funds (Judges) </t>
  </si>
  <si>
    <t>Income Statement (Trend)</t>
  </si>
  <si>
    <t>management review purposes only</t>
  </si>
  <si>
    <t xml:space="preserve">INCOME STATEMENT (TREND) </t>
  </si>
  <si>
    <t>INCOME STATEMENT</t>
  </si>
  <si>
    <t>Legislative and Constitutional Dev</t>
  </si>
  <si>
    <t>Legal Services</t>
  </si>
  <si>
    <t>Masters</t>
  </si>
  <si>
    <t xml:space="preserve"> April 02</t>
  </si>
  <si>
    <t>May 02</t>
  </si>
  <si>
    <t>June 02</t>
  </si>
  <si>
    <t>July 02</t>
  </si>
  <si>
    <t>Aug 02</t>
  </si>
  <si>
    <t>Sept 02</t>
  </si>
  <si>
    <t>Oct 02</t>
  </si>
  <si>
    <t>Nov 02</t>
  </si>
  <si>
    <t>Dec 02</t>
  </si>
  <si>
    <t>Jan 03</t>
  </si>
  <si>
    <t>Feb 03</t>
  </si>
  <si>
    <t>CEO</t>
  </si>
  <si>
    <t>CFO</t>
  </si>
  <si>
    <t>Human Resources</t>
  </si>
  <si>
    <t>PEC</t>
  </si>
  <si>
    <t>ISM</t>
  </si>
  <si>
    <t>NPA</t>
  </si>
  <si>
    <t>Commission: Depreciation of the Rand</t>
  </si>
  <si>
    <t xml:space="preserve">Original </t>
  </si>
  <si>
    <t>ICS</t>
  </si>
  <si>
    <t>Legislative and Constitutional Devopm</t>
  </si>
  <si>
    <t>Transfer Payments</t>
  </si>
  <si>
    <t>Programme 2: Administration of Courts</t>
  </si>
  <si>
    <t>Programme 3: State Legal Service</t>
  </si>
  <si>
    <t xml:space="preserve">Programme 4: National Prosecuting </t>
  </si>
  <si>
    <t>ECONOMIC CLASSIFICATION OF EXPENDITURE</t>
  </si>
  <si>
    <t>Variances per Business Unit</t>
  </si>
  <si>
    <t>April 02</t>
  </si>
  <si>
    <t>Other</t>
  </si>
  <si>
    <t>Mthly Base 80</t>
  </si>
  <si>
    <t xml:space="preserve"> May 02</t>
  </si>
  <si>
    <t xml:space="preserve"> June 02</t>
  </si>
  <si>
    <t>Variances per Business Units</t>
  </si>
  <si>
    <t>3 - 5</t>
  </si>
  <si>
    <t>Income Statement (Year to date, Month and Average)</t>
  </si>
  <si>
    <t>Programme 1:  Administration</t>
  </si>
  <si>
    <t>Programme 2:  Administration of Courts</t>
  </si>
  <si>
    <t>Programme 3:  State Legal Services</t>
  </si>
  <si>
    <t>Programme 4:  National Prosecution Authority</t>
  </si>
  <si>
    <t>Programme 5: Auxiliary and Associated Services</t>
  </si>
  <si>
    <t xml:space="preserve"> July 02</t>
  </si>
  <si>
    <t>Commission: Fire in Krugerpark</t>
  </si>
  <si>
    <t>Minister/ Deputy Minister</t>
  </si>
  <si>
    <t>Minister \ Deputy Minister</t>
  </si>
  <si>
    <t>Backlog Reduction</t>
  </si>
  <si>
    <t>TOTAL - BACKLOG REDUCTION</t>
  </si>
  <si>
    <t xml:space="preserve"> Aug 02</t>
  </si>
  <si>
    <t xml:space="preserve"> Sept 02</t>
  </si>
  <si>
    <t>Backlog reduction</t>
  </si>
  <si>
    <t>Expenses per programme and sub-programme</t>
  </si>
  <si>
    <t>Graphs per Business Unit</t>
  </si>
  <si>
    <t xml:space="preserve"> Oct 02</t>
  </si>
  <si>
    <t xml:space="preserve"> Nov 02</t>
  </si>
  <si>
    <t>v</t>
  </si>
  <si>
    <t xml:space="preserve"> Dec 02</t>
  </si>
  <si>
    <t xml:space="preserve"> Jan 03</t>
  </si>
  <si>
    <t>Humans Resources</t>
  </si>
  <si>
    <t>Special Investigation Unit</t>
  </si>
  <si>
    <t xml:space="preserve"> Jan 02</t>
  </si>
  <si>
    <t xml:space="preserve"> Feb 03</t>
  </si>
  <si>
    <t>Mrt 03</t>
  </si>
  <si>
    <t>March 03</t>
  </si>
  <si>
    <t xml:space="preserve"> Mrch 03</t>
  </si>
  <si>
    <t>NPA - Expenditure still to be allocated</t>
  </si>
  <si>
    <t>Mrch 03</t>
  </si>
  <si>
    <t>Month: March 2003</t>
  </si>
  <si>
    <t>Judges salaries and allowances</t>
  </si>
  <si>
    <t>These Accounts have been prepared on a cash basis</t>
  </si>
  <si>
    <t>Legislative &amp; CD</t>
  </si>
  <si>
    <t>6 - 11</t>
  </si>
  <si>
    <t>13 - 16</t>
  </si>
  <si>
    <t>17 - 21</t>
  </si>
  <si>
    <t xml:space="preserve">These unaudited monthly Accounts are provided for </t>
  </si>
  <si>
    <t xml:space="preserve"> March 03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</si>
</sst>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#,##0.0_);[Red]\(#,##0.0\)"/>
    <numFmt numFmtId="186" formatCode="#,##0.000_);[Red]\(#,##0.000\)"/>
    <numFmt numFmtId="187" formatCode="#,##0.0000_);[Red]\(#,##0.0000\)"/>
    <numFmt numFmtId="188" formatCode="#,##0.00000_);[Red]\(#,##0.00000\)"/>
    <numFmt numFmtId="189" formatCode="#,##0.000000_);[Red]\(#,##0.000000\)"/>
    <numFmt numFmtId="190" formatCode="#,##0_ ;[Red]\-#,##0\ "/>
  </numFmts>
  <fonts count="24">
    <font>
      <sz val="10"/>
      <name val="Arial"/>
      <family val="0"/>
    </font>
    <font>
      <b/>
      <sz val="15"/>
      <name val="Tahoma"/>
      <family val="2"/>
    </font>
    <font>
      <sz val="12"/>
      <name val="Tahoma"/>
      <family val="2"/>
    </font>
    <font>
      <sz val="12"/>
      <name val="Times New Roman"/>
      <family val="1"/>
    </font>
    <font>
      <b/>
      <sz val="12"/>
      <name val="Tahoma"/>
      <family val="2"/>
    </font>
    <font>
      <b/>
      <sz val="14"/>
      <name val="Tahoma"/>
      <family val="2"/>
    </font>
    <font>
      <b/>
      <u val="single"/>
      <sz val="16"/>
      <name val="Tahoma"/>
      <family val="2"/>
    </font>
    <font>
      <sz val="16"/>
      <name val="Arial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ahoma"/>
      <family val="2"/>
    </font>
    <font>
      <b/>
      <sz val="8.75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8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left" indent="8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 wrapText="1"/>
    </xf>
    <xf numFmtId="38" fontId="9" fillId="0" borderId="1" xfId="0" applyNumberFormat="1" applyFont="1" applyBorder="1" applyAlignment="1">
      <alignment horizontal="right" wrapText="1"/>
    </xf>
    <xf numFmtId="38" fontId="9" fillId="0" borderId="1" xfId="0" applyNumberFormat="1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 horizontal="right" wrapText="1"/>
    </xf>
    <xf numFmtId="38" fontId="9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38" fontId="9" fillId="0" borderId="0" xfId="0" applyNumberFormat="1" applyFont="1" applyAlignment="1" quotePrefix="1">
      <alignment horizontal="right" wrapText="1"/>
    </xf>
    <xf numFmtId="38" fontId="10" fillId="0" borderId="0" xfId="0" applyNumberFormat="1" applyFont="1" applyAlignment="1">
      <alignment horizontal="right"/>
    </xf>
    <xf numFmtId="38" fontId="10" fillId="0" borderId="0" xfId="0" applyNumberFormat="1" applyFont="1" applyAlignment="1" quotePrefix="1">
      <alignment horizontal="right"/>
    </xf>
    <xf numFmtId="38" fontId="9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38" fontId="10" fillId="0" borderId="0" xfId="0" applyNumberFormat="1" applyFont="1" applyAlignment="1">
      <alignment horizontal="right" wrapText="1"/>
    </xf>
    <xf numFmtId="38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wrapText="1"/>
    </xf>
    <xf numFmtId="38" fontId="10" fillId="0" borderId="2" xfId="0" applyNumberFormat="1" applyFont="1" applyBorder="1" applyAlignment="1">
      <alignment horizontal="right" wrapText="1"/>
    </xf>
    <xf numFmtId="38" fontId="10" fillId="0" borderId="2" xfId="0" applyNumberFormat="1" applyFont="1" applyBorder="1" applyAlignment="1">
      <alignment/>
    </xf>
    <xf numFmtId="38" fontId="9" fillId="0" borderId="3" xfId="0" applyNumberFormat="1" applyFont="1" applyBorder="1" applyAlignment="1">
      <alignment/>
    </xf>
    <xf numFmtId="38" fontId="10" fillId="0" borderId="0" xfId="0" applyNumberFormat="1" applyFont="1" applyAlignment="1">
      <alignment wrapText="1"/>
    </xf>
    <xf numFmtId="38" fontId="10" fillId="0" borderId="0" xfId="0" applyNumberFormat="1" applyFont="1" applyBorder="1" applyAlignment="1">
      <alignment horizontal="right" wrapText="1"/>
    </xf>
    <xf numFmtId="38" fontId="9" fillId="0" borderId="3" xfId="0" applyNumberFormat="1" applyFont="1" applyBorder="1" applyAlignment="1">
      <alignment horizontal="right" wrapText="1"/>
    </xf>
    <xf numFmtId="0" fontId="9" fillId="0" borderId="0" xfId="0" applyFont="1" applyAlignment="1">
      <alignment horizontal="left" wrapText="1"/>
    </xf>
    <xf numFmtId="38" fontId="9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38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38" fontId="10" fillId="0" borderId="0" xfId="0" applyNumberFormat="1" applyFont="1" applyAlignment="1">
      <alignment horizontal="left" indent="7"/>
    </xf>
    <xf numFmtId="38" fontId="1" fillId="0" borderId="0" xfId="0" applyNumberFormat="1" applyFont="1" applyAlignment="1">
      <alignment/>
    </xf>
    <xf numFmtId="38" fontId="9" fillId="0" borderId="0" xfId="0" applyNumberFormat="1" applyFont="1" applyBorder="1" applyAlignment="1">
      <alignment wrapText="1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wrapText="1"/>
    </xf>
    <xf numFmtId="38" fontId="10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38" fontId="13" fillId="0" borderId="0" xfId="0" applyNumberFormat="1" applyFont="1" applyBorder="1" applyAlignment="1">
      <alignment horizontal="right"/>
    </xf>
    <xf numFmtId="38" fontId="4" fillId="0" borderId="3" xfId="0" applyNumberFormat="1" applyFont="1" applyBorder="1" applyAlignment="1">
      <alignment horizontal="right"/>
    </xf>
    <xf numFmtId="0" fontId="14" fillId="0" borderId="0" xfId="0" applyFont="1" applyAlignment="1">
      <alignment/>
    </xf>
    <xf numFmtId="38" fontId="4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38" fontId="9" fillId="0" borderId="0" xfId="0" applyNumberFormat="1" applyFont="1" applyBorder="1" applyAlignment="1">
      <alignment horizontal="right"/>
    </xf>
    <xf numFmtId="38" fontId="10" fillId="0" borderId="0" xfId="0" applyNumberFormat="1" applyFont="1" applyBorder="1" applyAlignment="1">
      <alignment/>
    </xf>
    <xf numFmtId="38" fontId="9" fillId="0" borderId="0" xfId="0" applyNumberFormat="1" applyFont="1" applyBorder="1" applyAlignment="1" quotePrefix="1">
      <alignment horizontal="right" wrapText="1"/>
    </xf>
    <xf numFmtId="0" fontId="4" fillId="0" borderId="0" xfId="0" applyFont="1" applyAlignment="1" quotePrefix="1">
      <alignment horizontal="center" vertical="top" wrapText="1"/>
    </xf>
    <xf numFmtId="0" fontId="4" fillId="0" borderId="0" xfId="0" applyFont="1" applyAlignment="1" quotePrefix="1">
      <alignment horizontal="center" wrapText="1"/>
    </xf>
    <xf numFmtId="0" fontId="0" fillId="0" borderId="0" xfId="0" applyAlignment="1" applyProtection="1">
      <alignment/>
      <protection locked="0"/>
    </xf>
    <xf numFmtId="38" fontId="14" fillId="0" borderId="0" xfId="0" applyNumberFormat="1" applyFont="1" applyBorder="1" applyAlignment="1">
      <alignment horizontal="right"/>
    </xf>
    <xf numFmtId="38" fontId="9" fillId="0" borderId="0" xfId="0" applyNumberFormat="1" applyFont="1" applyBorder="1" applyAlignment="1" quotePrefix="1">
      <alignment horizontal="right"/>
    </xf>
    <xf numFmtId="0" fontId="14" fillId="0" borderId="0" xfId="0" applyFont="1" applyBorder="1" applyAlignment="1">
      <alignment/>
    </xf>
    <xf numFmtId="38" fontId="12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38" fontId="9" fillId="0" borderId="0" xfId="0" applyNumberFormat="1" applyFont="1" applyAlignment="1">
      <alignment horizontal="center"/>
    </xf>
    <xf numFmtId="38" fontId="1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12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 wrapText="1"/>
    </xf>
    <xf numFmtId="38" fontId="9" fillId="0" borderId="0" xfId="0" applyNumberFormat="1" applyFont="1" applyBorder="1" applyAlignment="1">
      <alignment horizontal="center" wrapText="1"/>
    </xf>
    <xf numFmtId="38" fontId="8" fillId="0" borderId="2" xfId="0" applyNumberFormat="1" applyFont="1" applyBorder="1" applyAlignment="1">
      <alignment/>
    </xf>
    <xf numFmtId="38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8" fontId="10" fillId="0" borderId="0" xfId="0" applyNumberFormat="1" applyFont="1" applyBorder="1" applyAlignment="1">
      <alignment horizontal="center" wrapText="1"/>
    </xf>
    <xf numFmtId="38" fontId="8" fillId="0" borderId="0" xfId="0" applyNumberFormat="1" applyFont="1" applyAlignment="1">
      <alignment horizontal="center"/>
    </xf>
    <xf numFmtId="38" fontId="8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wrapText="1"/>
    </xf>
    <xf numFmtId="38" fontId="9" fillId="0" borderId="4" xfId="0" applyNumberFormat="1" applyFont="1" applyBorder="1" applyAlignment="1">
      <alignment horizontal="right" wrapText="1"/>
    </xf>
    <xf numFmtId="38" fontId="14" fillId="0" borderId="4" xfId="0" applyNumberFormat="1" applyFont="1" applyBorder="1" applyAlignment="1">
      <alignment/>
    </xf>
    <xf numFmtId="38" fontId="9" fillId="0" borderId="4" xfId="0" applyNumberFormat="1" applyFont="1" applyBorder="1" applyAlignment="1">
      <alignment wrapText="1"/>
    </xf>
    <xf numFmtId="38" fontId="9" fillId="0" borderId="4" xfId="0" applyNumberFormat="1" applyFont="1" applyBorder="1" applyAlignment="1">
      <alignment/>
    </xf>
    <xf numFmtId="38" fontId="9" fillId="0" borderId="1" xfId="0" applyNumberFormat="1" applyFont="1" applyBorder="1" applyAlignment="1">
      <alignment/>
    </xf>
    <xf numFmtId="38" fontId="9" fillId="0" borderId="0" xfId="0" applyNumberFormat="1" applyFont="1" applyAlignment="1">
      <alignment horizontal="left"/>
    </xf>
    <xf numFmtId="38" fontId="14" fillId="0" borderId="0" xfId="0" applyNumberFormat="1" applyFont="1" applyBorder="1" applyAlignment="1">
      <alignment/>
    </xf>
    <xf numFmtId="38" fontId="10" fillId="0" borderId="1" xfId="0" applyNumberFormat="1" applyFont="1" applyBorder="1" applyAlignment="1">
      <alignment wrapText="1"/>
    </xf>
    <xf numFmtId="0" fontId="2" fillId="0" borderId="0" xfId="0" applyFont="1" applyAlignment="1">
      <alignment/>
    </xf>
    <xf numFmtId="3" fontId="10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8" fontId="6" fillId="0" borderId="0" xfId="0" applyNumberFormat="1" applyFont="1" applyAlignment="1">
      <alignment/>
    </xf>
    <xf numFmtId="0" fontId="10" fillId="0" borderId="0" xfId="0" applyFont="1" applyAlignment="1">
      <alignment horizontal="left" indent="7"/>
    </xf>
    <xf numFmtId="0" fontId="1" fillId="0" borderId="0" xfId="0" applyFont="1" applyAlignment="1">
      <alignment/>
    </xf>
    <xf numFmtId="0" fontId="17" fillId="0" borderId="0" xfId="0" applyFont="1" applyAlignment="1">
      <alignment horizontal="justify"/>
    </xf>
    <xf numFmtId="38" fontId="10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 quotePrefix="1">
      <alignment/>
    </xf>
    <xf numFmtId="38" fontId="14" fillId="0" borderId="4" xfId="0" applyNumberFormat="1" applyFont="1" applyBorder="1" applyAlignment="1">
      <alignment horizontal="right"/>
    </xf>
    <xf numFmtId="38" fontId="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10" fillId="0" borderId="5" xfId="0" applyNumberFormat="1" applyFont="1" applyBorder="1" applyAlignment="1">
      <alignment/>
    </xf>
    <xf numFmtId="38" fontId="10" fillId="0" borderId="4" xfId="0" applyNumberFormat="1" applyFont="1" applyBorder="1" applyAlignment="1">
      <alignment/>
    </xf>
    <xf numFmtId="38" fontId="9" fillId="0" borderId="6" xfId="0" applyNumberFormat="1" applyFont="1" applyBorder="1" applyAlignment="1">
      <alignment/>
    </xf>
    <xf numFmtId="38" fontId="10" fillId="0" borderId="7" xfId="0" applyNumberFormat="1" applyFont="1" applyBorder="1" applyAlignment="1">
      <alignment/>
    </xf>
    <xf numFmtId="38" fontId="9" fillId="0" borderId="8" xfId="0" applyNumberFormat="1" applyFont="1" applyBorder="1" applyAlignment="1">
      <alignment/>
    </xf>
    <xf numFmtId="38" fontId="10" fillId="0" borderId="7" xfId="0" applyNumberFormat="1" applyFont="1" applyBorder="1" applyAlignment="1">
      <alignment horizontal="right"/>
    </xf>
    <xf numFmtId="38" fontId="10" fillId="0" borderId="9" xfId="0" applyNumberFormat="1" applyFont="1" applyBorder="1" applyAlignment="1">
      <alignment horizontal="right"/>
    </xf>
    <xf numFmtId="38" fontId="9" fillId="0" borderId="10" xfId="0" applyNumberFormat="1" applyFont="1" applyBorder="1" applyAlignment="1">
      <alignment horizontal="right"/>
    </xf>
    <xf numFmtId="38" fontId="9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 quotePrefix="1">
      <alignment horizontal="center"/>
    </xf>
    <xf numFmtId="38" fontId="9" fillId="0" borderId="2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8" fontId="21" fillId="0" borderId="3" xfId="0" applyNumberFormat="1" applyFont="1" applyBorder="1" applyAlignment="1">
      <alignment/>
    </xf>
    <xf numFmtId="38" fontId="21" fillId="0" borderId="11" xfId="0" applyNumberFormat="1" applyFont="1" applyBorder="1" applyAlignment="1">
      <alignment/>
    </xf>
    <xf numFmtId="38" fontId="21" fillId="0" borderId="12" xfId="0" applyNumberFormat="1" applyFont="1" applyBorder="1" applyAlignment="1">
      <alignment/>
    </xf>
    <xf numFmtId="38" fontId="9" fillId="0" borderId="0" xfId="0" applyNumberFormat="1" applyFont="1" applyFill="1" applyBorder="1" applyAlignment="1">
      <alignment horizontal="right"/>
    </xf>
    <xf numFmtId="38" fontId="9" fillId="0" borderId="0" xfId="0" applyNumberFormat="1" applyFont="1" applyFill="1" applyBorder="1" applyAlignment="1" quotePrefix="1">
      <alignment horizontal="right"/>
    </xf>
    <xf numFmtId="38" fontId="9" fillId="0" borderId="0" xfId="0" applyNumberFormat="1" applyFont="1" applyFill="1" applyBorder="1" applyAlignment="1" quotePrefix="1">
      <alignment horizontal="right" wrapText="1"/>
    </xf>
    <xf numFmtId="38" fontId="14" fillId="0" borderId="0" xfId="0" applyNumberFormat="1" applyFont="1" applyFill="1" applyBorder="1" applyAlignment="1">
      <alignment horizontal="right"/>
    </xf>
    <xf numFmtId="38" fontId="10" fillId="0" borderId="0" xfId="0" applyNumberFormat="1" applyFont="1" applyFill="1" applyBorder="1" applyAlignment="1">
      <alignment horizontal="right"/>
    </xf>
    <xf numFmtId="38" fontId="14" fillId="0" borderId="4" xfId="0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8" fontId="4" fillId="0" borderId="3" xfId="0" applyNumberFormat="1" applyFont="1" applyFill="1" applyBorder="1" applyAlignment="1">
      <alignment horizontal="right"/>
    </xf>
    <xf numFmtId="38" fontId="13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 quotePrefix="1">
      <alignment horizontal="center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8" fontId="10" fillId="0" borderId="2" xfId="0" applyNumberFormat="1" applyFont="1" applyBorder="1" applyAlignment="1">
      <alignment/>
    </xf>
    <xf numFmtId="38" fontId="9" fillId="0" borderId="10" xfId="0" applyNumberFormat="1" applyFont="1" applyBorder="1" applyAlignment="1">
      <alignment/>
    </xf>
    <xf numFmtId="38" fontId="10" fillId="0" borderId="0" xfId="0" applyNumberFormat="1" applyFont="1" applyFill="1" applyBorder="1" applyAlignment="1">
      <alignment/>
    </xf>
    <xf numFmtId="41" fontId="9" fillId="0" borderId="0" xfId="15" applyNumberFormat="1" applyFont="1" applyBorder="1" applyAlignment="1">
      <alignment horizontal="center"/>
    </xf>
    <xf numFmtId="41" fontId="9" fillId="0" borderId="0" xfId="15" applyNumberFormat="1" applyFont="1" applyBorder="1" applyAlignment="1" quotePrefix="1">
      <alignment horizontal="center"/>
    </xf>
    <xf numFmtId="41" fontId="10" fillId="0" borderId="0" xfId="15" applyNumberFormat="1" applyFont="1" applyBorder="1" applyAlignment="1">
      <alignment/>
    </xf>
    <xf numFmtId="41" fontId="10" fillId="0" borderId="0" xfId="15" applyNumberFormat="1" applyFont="1" applyBorder="1" applyAlignment="1">
      <alignment horizontal="right"/>
    </xf>
    <xf numFmtId="41" fontId="10" fillId="0" borderId="7" xfId="15" applyNumberFormat="1" applyFont="1" applyBorder="1" applyAlignment="1">
      <alignment/>
    </xf>
    <xf numFmtId="41" fontId="21" fillId="0" borderId="12" xfId="15" applyNumberFormat="1" applyFont="1" applyBorder="1" applyAlignment="1">
      <alignment/>
    </xf>
    <xf numFmtId="41" fontId="10" fillId="0" borderId="0" xfId="15" applyNumberFormat="1" applyFont="1" applyAlignment="1">
      <alignment/>
    </xf>
    <xf numFmtId="41" fontId="10" fillId="0" borderId="0" xfId="15" applyNumberFormat="1" applyFont="1" applyBorder="1" applyAlignment="1">
      <alignment/>
    </xf>
    <xf numFmtId="41" fontId="0" fillId="0" borderId="0" xfId="15" applyNumberFormat="1" applyAlignment="1">
      <alignment/>
    </xf>
    <xf numFmtId="38" fontId="4" fillId="0" borderId="1" xfId="0" applyNumberFormat="1" applyFont="1" applyBorder="1" applyAlignment="1">
      <alignment horizontal="right"/>
    </xf>
    <xf numFmtId="3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38" fontId="4" fillId="0" borderId="0" xfId="0" applyNumberFormat="1" applyFont="1" applyBorder="1" applyAlignment="1" quotePrefix="1">
      <alignment horizontal="center"/>
    </xf>
    <xf numFmtId="38" fontId="12" fillId="0" borderId="0" xfId="0" applyNumberFormat="1" applyFont="1" applyAlignment="1">
      <alignment horizontal="left"/>
    </xf>
    <xf numFmtId="38" fontId="4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Personnel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Sheet1!$B$49:$M$49</c:f>
              <c:numCache>
                <c:ptCount val="12"/>
                <c:pt idx="0">
                  <c:v>139509</c:v>
                </c:pt>
                <c:pt idx="1">
                  <c:v>180671</c:v>
                </c:pt>
                <c:pt idx="2">
                  <c:v>116060</c:v>
                </c:pt>
                <c:pt idx="3">
                  <c:v>225278</c:v>
                </c:pt>
                <c:pt idx="4">
                  <c:v>173505</c:v>
                </c:pt>
                <c:pt idx="5">
                  <c:v>183653</c:v>
                </c:pt>
                <c:pt idx="6">
                  <c:v>152008</c:v>
                </c:pt>
                <c:pt idx="7">
                  <c:v>185025</c:v>
                </c:pt>
                <c:pt idx="8">
                  <c:v>220795</c:v>
                </c:pt>
                <c:pt idx="9">
                  <c:v>188621</c:v>
                </c:pt>
                <c:pt idx="10">
                  <c:v>256505</c:v>
                </c:pt>
                <c:pt idx="11">
                  <c:v>203689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Sheet1!$B$50:$M$50</c:f>
              <c:numCache>
                <c:ptCount val="12"/>
                <c:pt idx="0">
                  <c:v>180624</c:v>
                </c:pt>
                <c:pt idx="1">
                  <c:v>180624</c:v>
                </c:pt>
                <c:pt idx="2">
                  <c:v>180624</c:v>
                </c:pt>
                <c:pt idx="3">
                  <c:v>180624</c:v>
                </c:pt>
                <c:pt idx="4">
                  <c:v>180624</c:v>
                </c:pt>
                <c:pt idx="5">
                  <c:v>180624</c:v>
                </c:pt>
                <c:pt idx="6">
                  <c:v>180624</c:v>
                </c:pt>
                <c:pt idx="7">
                  <c:v>180624</c:v>
                </c:pt>
                <c:pt idx="8">
                  <c:v>180624</c:v>
                </c:pt>
                <c:pt idx="9">
                  <c:v>180624</c:v>
                </c:pt>
                <c:pt idx="10">
                  <c:v>180624</c:v>
                </c:pt>
                <c:pt idx="11">
                  <c:v>180624</c:v>
                </c:pt>
              </c:numCache>
            </c:numRef>
          </c:val>
        </c:ser>
        <c:axId val="15758414"/>
        <c:axId val="7607999"/>
      </c:barChart>
      <c:catAx>
        <c:axId val="1575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07999"/>
        <c:crosses val="autoZero"/>
        <c:auto val="1"/>
        <c:lblOffset val="100"/>
        <c:noMultiLvlLbl val="0"/>
      </c:catAx>
      <c:valAx>
        <c:axId val="7607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58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Programme 2: Administration of Courts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5825"/>
          <c:w val="0.806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Sheet1!$B$80:$M$80</c:f>
              <c:numCache>
                <c:ptCount val="12"/>
                <c:pt idx="0">
                  <c:v>141320</c:v>
                </c:pt>
                <c:pt idx="1">
                  <c:v>112008</c:v>
                </c:pt>
                <c:pt idx="2">
                  <c:v>116445</c:v>
                </c:pt>
                <c:pt idx="3">
                  <c:v>125467</c:v>
                </c:pt>
                <c:pt idx="4">
                  <c:v>116946</c:v>
                </c:pt>
                <c:pt idx="5">
                  <c:v>118233</c:v>
                </c:pt>
                <c:pt idx="6">
                  <c:v>102586</c:v>
                </c:pt>
                <c:pt idx="7">
                  <c:v>125814</c:v>
                </c:pt>
                <c:pt idx="8">
                  <c:v>140004</c:v>
                </c:pt>
                <c:pt idx="9">
                  <c:v>126087</c:v>
                </c:pt>
                <c:pt idx="10">
                  <c:v>126400</c:v>
                </c:pt>
                <c:pt idx="11">
                  <c:v>174745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Sheet1!$B$81:$M$81</c:f>
              <c:numCache>
                <c:ptCount val="12"/>
                <c:pt idx="0">
                  <c:v>147792</c:v>
                </c:pt>
                <c:pt idx="1">
                  <c:v>147793</c:v>
                </c:pt>
                <c:pt idx="2">
                  <c:v>147793</c:v>
                </c:pt>
                <c:pt idx="3">
                  <c:v>147793</c:v>
                </c:pt>
                <c:pt idx="4">
                  <c:v>147793</c:v>
                </c:pt>
                <c:pt idx="5">
                  <c:v>147793</c:v>
                </c:pt>
                <c:pt idx="6">
                  <c:v>147793</c:v>
                </c:pt>
                <c:pt idx="7">
                  <c:v>147793</c:v>
                </c:pt>
                <c:pt idx="8">
                  <c:v>147793</c:v>
                </c:pt>
                <c:pt idx="9">
                  <c:v>147793</c:v>
                </c:pt>
                <c:pt idx="10">
                  <c:v>147793</c:v>
                </c:pt>
                <c:pt idx="11">
                  <c:v>147793</c:v>
                </c:pt>
              </c:numCache>
            </c:numRef>
          </c:val>
        </c:ser>
        <c:axId val="31686792"/>
        <c:axId val="16745673"/>
      </c:barChart>
      <c:catAx>
        <c:axId val="31686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45673"/>
        <c:crosses val="autoZero"/>
        <c:auto val="1"/>
        <c:lblOffset val="100"/>
        <c:noMultiLvlLbl val="0"/>
      </c:catAx>
      <c:valAx>
        <c:axId val="16745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86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Programme 3: State Legal Services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Sheet1!$B$83:$M$83</c:f>
              <c:numCache>
                <c:ptCount val="12"/>
                <c:pt idx="0">
                  <c:v>13211</c:v>
                </c:pt>
                <c:pt idx="1">
                  <c:v>12059</c:v>
                </c:pt>
                <c:pt idx="2">
                  <c:v>11275</c:v>
                </c:pt>
                <c:pt idx="3">
                  <c:v>13259</c:v>
                </c:pt>
                <c:pt idx="4">
                  <c:v>12892</c:v>
                </c:pt>
                <c:pt idx="5">
                  <c:v>14594</c:v>
                </c:pt>
                <c:pt idx="6">
                  <c:v>13016</c:v>
                </c:pt>
                <c:pt idx="7">
                  <c:v>12318</c:v>
                </c:pt>
                <c:pt idx="8">
                  <c:v>11856</c:v>
                </c:pt>
                <c:pt idx="9">
                  <c:v>12001</c:v>
                </c:pt>
                <c:pt idx="10">
                  <c:v>24203</c:v>
                </c:pt>
                <c:pt idx="11">
                  <c:v>18161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Sheet1!$B$84:$M$84</c:f>
              <c:numCache>
                <c:ptCount val="12"/>
                <c:pt idx="0">
                  <c:v>16310</c:v>
                </c:pt>
                <c:pt idx="1">
                  <c:v>16310</c:v>
                </c:pt>
                <c:pt idx="2">
                  <c:v>16310</c:v>
                </c:pt>
                <c:pt idx="3">
                  <c:v>16310</c:v>
                </c:pt>
                <c:pt idx="4">
                  <c:v>16310</c:v>
                </c:pt>
                <c:pt idx="5">
                  <c:v>16310</c:v>
                </c:pt>
                <c:pt idx="6">
                  <c:v>16310</c:v>
                </c:pt>
                <c:pt idx="7">
                  <c:v>16310</c:v>
                </c:pt>
                <c:pt idx="8">
                  <c:v>16310</c:v>
                </c:pt>
                <c:pt idx="9">
                  <c:v>16310</c:v>
                </c:pt>
                <c:pt idx="10">
                  <c:v>16310</c:v>
                </c:pt>
                <c:pt idx="11">
                  <c:v>16310</c:v>
                </c:pt>
              </c:numCache>
            </c:numRef>
          </c:val>
        </c:ser>
        <c:axId val="16493330"/>
        <c:axId val="14222243"/>
      </c:barChart>
      <c:catAx>
        <c:axId val="16493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22243"/>
        <c:crosses val="autoZero"/>
        <c:auto val="1"/>
        <c:lblOffset val="100"/>
        <c:noMultiLvlLbl val="0"/>
      </c:catAx>
      <c:valAx>
        <c:axId val="14222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93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Programme 4: National Prosecuting Authority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Sheet1!$B$87:$M$87</c:f>
              <c:numCache>
                <c:ptCount val="12"/>
                <c:pt idx="0">
                  <c:v>2710</c:v>
                </c:pt>
                <c:pt idx="1">
                  <c:v>59591</c:v>
                </c:pt>
                <c:pt idx="2">
                  <c:v>1593</c:v>
                </c:pt>
                <c:pt idx="3">
                  <c:v>119336</c:v>
                </c:pt>
                <c:pt idx="4">
                  <c:v>57032</c:v>
                </c:pt>
                <c:pt idx="5">
                  <c:v>66667</c:v>
                </c:pt>
                <c:pt idx="6">
                  <c:v>62409</c:v>
                </c:pt>
                <c:pt idx="7">
                  <c:v>72646</c:v>
                </c:pt>
                <c:pt idx="8">
                  <c:v>115748</c:v>
                </c:pt>
                <c:pt idx="9">
                  <c:v>69380</c:v>
                </c:pt>
                <c:pt idx="10">
                  <c:v>79174</c:v>
                </c:pt>
                <c:pt idx="11">
                  <c:v>221408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Sheet1!$B$88:$M$88</c:f>
              <c:numCache>
                <c:ptCount val="12"/>
                <c:pt idx="0">
                  <c:v>79047</c:v>
                </c:pt>
                <c:pt idx="1">
                  <c:v>79047</c:v>
                </c:pt>
                <c:pt idx="2">
                  <c:v>79047</c:v>
                </c:pt>
                <c:pt idx="3">
                  <c:v>79047</c:v>
                </c:pt>
                <c:pt idx="4">
                  <c:v>79047</c:v>
                </c:pt>
                <c:pt idx="5">
                  <c:v>79047</c:v>
                </c:pt>
                <c:pt idx="6">
                  <c:v>79047</c:v>
                </c:pt>
                <c:pt idx="7">
                  <c:v>79047</c:v>
                </c:pt>
                <c:pt idx="8">
                  <c:v>79047</c:v>
                </c:pt>
                <c:pt idx="9">
                  <c:v>79047</c:v>
                </c:pt>
                <c:pt idx="10">
                  <c:v>79047</c:v>
                </c:pt>
                <c:pt idx="11">
                  <c:v>79047</c:v>
                </c:pt>
              </c:numCache>
            </c:numRef>
          </c:val>
        </c:ser>
        <c:axId val="60891324"/>
        <c:axId val="11151005"/>
      </c:barChart>
      <c:catAx>
        <c:axId val="6089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51005"/>
        <c:crosses val="autoZero"/>
        <c:auto val="1"/>
        <c:lblOffset val="100"/>
        <c:noMultiLvlLbl val="0"/>
      </c:catAx>
      <c:valAx>
        <c:axId val="11151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91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Programme 5: Auxiliary &amp; Associated Services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675"/>
          <c:w val="0.783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Sheet1!$B$91:$M$91</c:f>
              <c:numCache>
                <c:ptCount val="12"/>
                <c:pt idx="0">
                  <c:v>88765</c:v>
                </c:pt>
                <c:pt idx="1">
                  <c:v>75718</c:v>
                </c:pt>
                <c:pt idx="2">
                  <c:v>178906</c:v>
                </c:pt>
                <c:pt idx="3">
                  <c:v>21747</c:v>
                </c:pt>
                <c:pt idx="4">
                  <c:v>69616</c:v>
                </c:pt>
                <c:pt idx="5">
                  <c:v>132428</c:v>
                </c:pt>
                <c:pt idx="6">
                  <c:v>121489</c:v>
                </c:pt>
                <c:pt idx="7">
                  <c:v>72409</c:v>
                </c:pt>
                <c:pt idx="8">
                  <c:v>67709</c:v>
                </c:pt>
                <c:pt idx="9">
                  <c:v>137816</c:v>
                </c:pt>
                <c:pt idx="10">
                  <c:v>127152</c:v>
                </c:pt>
                <c:pt idx="11">
                  <c:v>162594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Sheet1!$B$92:$M$92</c:f>
              <c:numCache>
                <c:ptCount val="12"/>
                <c:pt idx="0">
                  <c:v>80009</c:v>
                </c:pt>
                <c:pt idx="1">
                  <c:v>80009</c:v>
                </c:pt>
                <c:pt idx="2">
                  <c:v>80009</c:v>
                </c:pt>
                <c:pt idx="3">
                  <c:v>80009</c:v>
                </c:pt>
                <c:pt idx="4">
                  <c:v>80009</c:v>
                </c:pt>
                <c:pt idx="5">
                  <c:v>80009</c:v>
                </c:pt>
                <c:pt idx="6">
                  <c:v>80009</c:v>
                </c:pt>
                <c:pt idx="7">
                  <c:v>80009</c:v>
                </c:pt>
                <c:pt idx="8">
                  <c:v>80009</c:v>
                </c:pt>
                <c:pt idx="9">
                  <c:v>80009</c:v>
                </c:pt>
                <c:pt idx="10">
                  <c:v>80009</c:v>
                </c:pt>
                <c:pt idx="11">
                  <c:v>80009</c:v>
                </c:pt>
              </c:numCache>
            </c:numRef>
          </c:val>
        </c:ser>
        <c:axId val="33250182"/>
        <c:axId val="30816183"/>
      </c:barChart>
      <c:catAx>
        <c:axId val="3325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16183"/>
        <c:crosses val="autoZero"/>
        <c:auto val="1"/>
        <c:lblOffset val="100"/>
        <c:noMultiLvlLbl val="0"/>
      </c:catAx>
      <c:valAx>
        <c:axId val="30816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50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Special Function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Sheet1!$B$94:$M$94</c:f>
              <c:numCache>
                <c:ptCount val="12"/>
                <c:pt idx="0">
                  <c:v>687</c:v>
                </c:pt>
                <c:pt idx="1">
                  <c:v>574</c:v>
                </c:pt>
                <c:pt idx="2">
                  <c:v>2027</c:v>
                </c:pt>
                <c:pt idx="3">
                  <c:v>-273</c:v>
                </c:pt>
                <c:pt idx="4">
                  <c:v>543</c:v>
                </c:pt>
                <c:pt idx="5">
                  <c:v>-884</c:v>
                </c:pt>
                <c:pt idx="6">
                  <c:v>24</c:v>
                </c:pt>
                <c:pt idx="7">
                  <c:v>3251</c:v>
                </c:pt>
                <c:pt idx="8">
                  <c:v>2879</c:v>
                </c:pt>
                <c:pt idx="9">
                  <c:v>-1927</c:v>
                </c:pt>
                <c:pt idx="10">
                  <c:v>-1137</c:v>
                </c:pt>
                <c:pt idx="11">
                  <c:v>9726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Sheet1!$B$95:$L$95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8910192"/>
        <c:axId val="13082865"/>
      </c:barChart>
      <c:catAx>
        <c:axId val="8910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82865"/>
        <c:crosses val="autoZero"/>
        <c:auto val="1"/>
        <c:lblOffset val="100"/>
        <c:noMultiLvlLbl val="0"/>
      </c:catAx>
      <c:valAx>
        <c:axId val="13082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10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Backlogs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Sheet1!$B$97:$M$97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</c:v>
                </c:pt>
                <c:pt idx="5">
                  <c:v>111</c:v>
                </c:pt>
                <c:pt idx="6">
                  <c:v>0</c:v>
                </c:pt>
                <c:pt idx="7">
                  <c:v>15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-187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Sheet1!$B$98:$L$98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0636922"/>
        <c:axId val="53079115"/>
      </c:barChart>
      <c:catAx>
        <c:axId val="5063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79115"/>
        <c:crosses val="autoZero"/>
        <c:auto val="1"/>
        <c:lblOffset val="100"/>
        <c:noMultiLvlLbl val="0"/>
      </c:catAx>
      <c:valAx>
        <c:axId val="53079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36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Courts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Sheet1!$B$5:$M$5</c:f>
              <c:numCache>
                <c:ptCount val="12"/>
                <c:pt idx="0">
                  <c:v>153848</c:v>
                </c:pt>
                <c:pt idx="1">
                  <c:v>117323</c:v>
                </c:pt>
                <c:pt idx="2">
                  <c:v>163718</c:v>
                </c:pt>
                <c:pt idx="3">
                  <c:v>139349</c:v>
                </c:pt>
                <c:pt idx="4">
                  <c:v>135289</c:v>
                </c:pt>
                <c:pt idx="5">
                  <c:v>195106</c:v>
                </c:pt>
                <c:pt idx="6">
                  <c:v>154808</c:v>
                </c:pt>
                <c:pt idx="7">
                  <c:v>146189</c:v>
                </c:pt>
                <c:pt idx="8">
                  <c:v>156120</c:v>
                </c:pt>
                <c:pt idx="9">
                  <c:v>206531</c:v>
                </c:pt>
                <c:pt idx="10">
                  <c:v>150685</c:v>
                </c:pt>
                <c:pt idx="11">
                  <c:v>300531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Sheet1!$B$6:$M$6</c:f>
              <c:numCache>
                <c:ptCount val="12"/>
                <c:pt idx="0">
                  <c:v>154437.3333333333</c:v>
                </c:pt>
                <c:pt idx="1">
                  <c:v>154437.3333333333</c:v>
                </c:pt>
                <c:pt idx="2">
                  <c:v>154437.3333333333</c:v>
                </c:pt>
                <c:pt idx="3">
                  <c:v>154437.3333333333</c:v>
                </c:pt>
                <c:pt idx="4">
                  <c:v>154437.3333333333</c:v>
                </c:pt>
                <c:pt idx="5">
                  <c:v>154437.3333333333</c:v>
                </c:pt>
                <c:pt idx="6">
                  <c:v>154437.3333333333</c:v>
                </c:pt>
                <c:pt idx="7">
                  <c:v>154437.3333333333</c:v>
                </c:pt>
                <c:pt idx="8">
                  <c:v>154437.3333333333</c:v>
                </c:pt>
                <c:pt idx="9">
                  <c:v>154437.3333333333</c:v>
                </c:pt>
                <c:pt idx="10">
                  <c:v>154437.3333333333</c:v>
                </c:pt>
                <c:pt idx="11">
                  <c:v>154437.3333333333</c:v>
                </c:pt>
              </c:numCache>
            </c:numRef>
          </c:val>
        </c:ser>
        <c:axId val="7949988"/>
        <c:axId val="4441029"/>
      </c:barChart>
      <c:catAx>
        <c:axId val="7949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1029"/>
        <c:crosses val="autoZero"/>
        <c:auto val="1"/>
        <c:lblOffset val="100"/>
        <c:noMultiLvlLbl val="0"/>
      </c:catAx>
      <c:valAx>
        <c:axId val="4441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49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Masters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Sheet1!$B$8:$M$8</c:f>
              <c:numCache>
                <c:ptCount val="12"/>
                <c:pt idx="0">
                  <c:v>5328</c:v>
                </c:pt>
                <c:pt idx="1">
                  <c:v>4468</c:v>
                </c:pt>
                <c:pt idx="2">
                  <c:v>4239</c:v>
                </c:pt>
                <c:pt idx="3">
                  <c:v>5303</c:v>
                </c:pt>
                <c:pt idx="4">
                  <c:v>4930</c:v>
                </c:pt>
                <c:pt idx="5">
                  <c:v>4865</c:v>
                </c:pt>
                <c:pt idx="6">
                  <c:v>5006</c:v>
                </c:pt>
                <c:pt idx="7">
                  <c:v>5198</c:v>
                </c:pt>
                <c:pt idx="8">
                  <c:v>4780</c:v>
                </c:pt>
                <c:pt idx="9">
                  <c:v>5010</c:v>
                </c:pt>
                <c:pt idx="10">
                  <c:v>6693</c:v>
                </c:pt>
                <c:pt idx="11">
                  <c:v>7522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Sheet1!$B$9:$M$9</c:f>
              <c:numCache>
                <c:ptCount val="12"/>
                <c:pt idx="0">
                  <c:v>5993.333333333333</c:v>
                </c:pt>
                <c:pt idx="1">
                  <c:v>5993.333333333333</c:v>
                </c:pt>
                <c:pt idx="2">
                  <c:v>5993.333333333333</c:v>
                </c:pt>
                <c:pt idx="3">
                  <c:v>5993.333333333333</c:v>
                </c:pt>
                <c:pt idx="4">
                  <c:v>5993.333333333333</c:v>
                </c:pt>
                <c:pt idx="5">
                  <c:v>5993.333333333333</c:v>
                </c:pt>
                <c:pt idx="6">
                  <c:v>5993.333333333333</c:v>
                </c:pt>
                <c:pt idx="7">
                  <c:v>5993.333333333333</c:v>
                </c:pt>
                <c:pt idx="8">
                  <c:v>5993.333333333333</c:v>
                </c:pt>
                <c:pt idx="9">
                  <c:v>5993.333333333333</c:v>
                </c:pt>
                <c:pt idx="10">
                  <c:v>5993.333333333333</c:v>
                </c:pt>
                <c:pt idx="11">
                  <c:v>5993.333333333333</c:v>
                </c:pt>
              </c:numCache>
            </c:numRef>
          </c:val>
        </c:ser>
        <c:axId val="39969262"/>
        <c:axId val="24179039"/>
      </c:barChart>
      <c:catAx>
        <c:axId val="39969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79039"/>
        <c:crosses val="autoZero"/>
        <c:auto val="1"/>
        <c:lblOffset val="100"/>
        <c:noMultiLvlLbl val="0"/>
      </c:catAx>
      <c:valAx>
        <c:axId val="24179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69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ISM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Sheet1!$B$29:$M$29</c:f>
              <c:numCache>
                <c:ptCount val="12"/>
                <c:pt idx="0">
                  <c:v>11342</c:v>
                </c:pt>
                <c:pt idx="1">
                  <c:v>-6584</c:v>
                </c:pt>
                <c:pt idx="2">
                  <c:v>5467</c:v>
                </c:pt>
                <c:pt idx="3">
                  <c:v>21636</c:v>
                </c:pt>
                <c:pt idx="4">
                  <c:v>7599</c:v>
                </c:pt>
                <c:pt idx="5">
                  <c:v>6627</c:v>
                </c:pt>
                <c:pt idx="6">
                  <c:v>11637</c:v>
                </c:pt>
                <c:pt idx="7">
                  <c:v>10076</c:v>
                </c:pt>
                <c:pt idx="8">
                  <c:v>8320</c:v>
                </c:pt>
                <c:pt idx="9">
                  <c:v>9872</c:v>
                </c:pt>
                <c:pt idx="10">
                  <c:v>65776</c:v>
                </c:pt>
                <c:pt idx="11">
                  <c:v>13408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Sheet1!$B$30:$M$30</c:f>
              <c:numCache>
                <c:ptCount val="12"/>
                <c:pt idx="0">
                  <c:v>16051</c:v>
                </c:pt>
                <c:pt idx="1">
                  <c:v>16051</c:v>
                </c:pt>
                <c:pt idx="2">
                  <c:v>16051</c:v>
                </c:pt>
                <c:pt idx="3">
                  <c:v>16051</c:v>
                </c:pt>
                <c:pt idx="4">
                  <c:v>16051</c:v>
                </c:pt>
                <c:pt idx="5">
                  <c:v>16051</c:v>
                </c:pt>
                <c:pt idx="6">
                  <c:v>16051</c:v>
                </c:pt>
                <c:pt idx="7">
                  <c:v>16051</c:v>
                </c:pt>
                <c:pt idx="8">
                  <c:v>16051</c:v>
                </c:pt>
                <c:pt idx="9">
                  <c:v>16051</c:v>
                </c:pt>
                <c:pt idx="10">
                  <c:v>16051</c:v>
                </c:pt>
                <c:pt idx="11">
                  <c:v>16051</c:v>
                </c:pt>
              </c:numCache>
            </c:numRef>
          </c:val>
        </c:ser>
        <c:axId val="16284760"/>
        <c:axId val="12345113"/>
      </c:barChart>
      <c:catAx>
        <c:axId val="1628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45113"/>
        <c:crosses val="autoZero"/>
        <c:auto val="1"/>
        <c:lblOffset val="100"/>
        <c:noMultiLvlLbl val="0"/>
      </c:catAx>
      <c:valAx>
        <c:axId val="12345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84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Legal Services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Sheet1!$B$11:$M$11</c:f>
              <c:numCache>
                <c:ptCount val="12"/>
                <c:pt idx="0">
                  <c:v>10039</c:v>
                </c:pt>
                <c:pt idx="1">
                  <c:v>9442</c:v>
                </c:pt>
                <c:pt idx="2">
                  <c:v>9235</c:v>
                </c:pt>
                <c:pt idx="3">
                  <c:v>9042</c:v>
                </c:pt>
                <c:pt idx="4">
                  <c:v>10714</c:v>
                </c:pt>
                <c:pt idx="5">
                  <c:v>9477</c:v>
                </c:pt>
                <c:pt idx="6">
                  <c:v>9311</c:v>
                </c:pt>
                <c:pt idx="7">
                  <c:v>8565</c:v>
                </c:pt>
                <c:pt idx="8">
                  <c:v>8388</c:v>
                </c:pt>
                <c:pt idx="9">
                  <c:v>5926</c:v>
                </c:pt>
                <c:pt idx="10">
                  <c:v>19974</c:v>
                </c:pt>
                <c:pt idx="11">
                  <c:v>2487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Sheet1!$B$12:$M$12</c:f>
              <c:numCache>
                <c:ptCount val="12"/>
                <c:pt idx="0">
                  <c:v>9109.75</c:v>
                </c:pt>
                <c:pt idx="1">
                  <c:v>9109.75</c:v>
                </c:pt>
                <c:pt idx="2">
                  <c:v>9109.75</c:v>
                </c:pt>
                <c:pt idx="3">
                  <c:v>9109.75</c:v>
                </c:pt>
                <c:pt idx="4">
                  <c:v>9109.75</c:v>
                </c:pt>
                <c:pt idx="5">
                  <c:v>9109.75</c:v>
                </c:pt>
                <c:pt idx="6">
                  <c:v>9109.75</c:v>
                </c:pt>
                <c:pt idx="7">
                  <c:v>9109.75</c:v>
                </c:pt>
                <c:pt idx="8">
                  <c:v>9109.75</c:v>
                </c:pt>
                <c:pt idx="9">
                  <c:v>9109.75</c:v>
                </c:pt>
                <c:pt idx="10">
                  <c:v>9109.75</c:v>
                </c:pt>
                <c:pt idx="11">
                  <c:v>9109.75</c:v>
                </c:pt>
              </c:numCache>
            </c:numRef>
          </c:val>
        </c:ser>
        <c:axId val="43997154"/>
        <c:axId val="60430067"/>
      </c:barChart>
      <c:catAx>
        <c:axId val="4399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30067"/>
        <c:crosses val="autoZero"/>
        <c:auto val="1"/>
        <c:lblOffset val="100"/>
        <c:noMultiLvlLbl val="0"/>
      </c:catAx>
      <c:valAx>
        <c:axId val="60430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97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Administrative Expenditure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Sheet1!$B$52:$M$52</c:f>
              <c:numCache>
                <c:ptCount val="12"/>
                <c:pt idx="0">
                  <c:v>14965</c:v>
                </c:pt>
                <c:pt idx="1">
                  <c:v>15485</c:v>
                </c:pt>
                <c:pt idx="2">
                  <c:v>19924</c:v>
                </c:pt>
                <c:pt idx="3">
                  <c:v>29825</c:v>
                </c:pt>
                <c:pt idx="4">
                  <c:v>19008</c:v>
                </c:pt>
                <c:pt idx="5">
                  <c:v>23876</c:v>
                </c:pt>
                <c:pt idx="6">
                  <c:v>26251</c:v>
                </c:pt>
                <c:pt idx="7">
                  <c:v>25995</c:v>
                </c:pt>
                <c:pt idx="8">
                  <c:v>24641</c:v>
                </c:pt>
                <c:pt idx="9">
                  <c:v>21493</c:v>
                </c:pt>
                <c:pt idx="10">
                  <c:v>28338</c:v>
                </c:pt>
                <c:pt idx="11">
                  <c:v>45798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Sheet1!$B$53:$M$53</c:f>
              <c:numCache>
                <c:ptCount val="12"/>
                <c:pt idx="0">
                  <c:v>21448</c:v>
                </c:pt>
                <c:pt idx="1">
                  <c:v>21448</c:v>
                </c:pt>
                <c:pt idx="2">
                  <c:v>21448</c:v>
                </c:pt>
                <c:pt idx="3">
                  <c:v>21448</c:v>
                </c:pt>
                <c:pt idx="4">
                  <c:v>21448</c:v>
                </c:pt>
                <c:pt idx="5">
                  <c:v>21448</c:v>
                </c:pt>
                <c:pt idx="6">
                  <c:v>21448</c:v>
                </c:pt>
                <c:pt idx="7">
                  <c:v>21448</c:v>
                </c:pt>
                <c:pt idx="8">
                  <c:v>21448</c:v>
                </c:pt>
                <c:pt idx="9">
                  <c:v>21448</c:v>
                </c:pt>
                <c:pt idx="10">
                  <c:v>21448</c:v>
                </c:pt>
                <c:pt idx="11">
                  <c:v>21448</c:v>
                </c:pt>
              </c:numCache>
            </c:numRef>
          </c:val>
        </c:ser>
        <c:axId val="1363128"/>
        <c:axId val="12268153"/>
      </c:barChart>
      <c:catAx>
        <c:axId val="136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68153"/>
        <c:crosses val="autoZero"/>
        <c:auto val="1"/>
        <c:lblOffset val="100"/>
        <c:noMultiLvlLbl val="0"/>
      </c:catAx>
      <c:valAx>
        <c:axId val="12268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3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Legislative and Constitutional Development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Sheet1!$B$14:$M$14</c:f>
              <c:numCache>
                <c:ptCount val="12"/>
                <c:pt idx="0">
                  <c:v>1240</c:v>
                </c:pt>
                <c:pt idx="1">
                  <c:v>1285</c:v>
                </c:pt>
                <c:pt idx="2">
                  <c:v>1439</c:v>
                </c:pt>
                <c:pt idx="3">
                  <c:v>1873</c:v>
                </c:pt>
                <c:pt idx="4">
                  <c:v>1724</c:v>
                </c:pt>
                <c:pt idx="5">
                  <c:v>1436</c:v>
                </c:pt>
                <c:pt idx="6">
                  <c:v>1498</c:v>
                </c:pt>
                <c:pt idx="7">
                  <c:v>1404</c:v>
                </c:pt>
                <c:pt idx="8">
                  <c:v>1642</c:v>
                </c:pt>
                <c:pt idx="9">
                  <c:v>1378</c:v>
                </c:pt>
                <c:pt idx="10">
                  <c:v>1532</c:v>
                </c:pt>
                <c:pt idx="11">
                  <c:v>1906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Sheet1!$B$15:$M$15</c:f>
              <c:numCache>
                <c:ptCount val="12"/>
                <c:pt idx="0">
                  <c:v>1692.5833333333333</c:v>
                </c:pt>
                <c:pt idx="1">
                  <c:v>1692.5833333333333</c:v>
                </c:pt>
                <c:pt idx="2">
                  <c:v>1692.5833333333333</c:v>
                </c:pt>
                <c:pt idx="3">
                  <c:v>1692.5833333333333</c:v>
                </c:pt>
                <c:pt idx="4">
                  <c:v>1692.5833333333333</c:v>
                </c:pt>
                <c:pt idx="5">
                  <c:v>1692.5833333333333</c:v>
                </c:pt>
                <c:pt idx="6">
                  <c:v>1692.5833333333333</c:v>
                </c:pt>
                <c:pt idx="7">
                  <c:v>1692.5833333333333</c:v>
                </c:pt>
                <c:pt idx="8">
                  <c:v>1692.5833333333333</c:v>
                </c:pt>
                <c:pt idx="9">
                  <c:v>1692.5833333333333</c:v>
                </c:pt>
                <c:pt idx="10">
                  <c:v>1692.5833333333333</c:v>
                </c:pt>
                <c:pt idx="11">
                  <c:v>1692.5833333333333</c:v>
                </c:pt>
              </c:numCache>
            </c:numRef>
          </c:val>
        </c:ser>
        <c:axId val="6999692"/>
        <c:axId val="62997229"/>
      </c:barChart>
      <c:catAx>
        <c:axId val="699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97229"/>
        <c:crosses val="autoZero"/>
        <c:auto val="1"/>
        <c:lblOffset val="100"/>
        <c:noMultiLvlLbl val="0"/>
      </c:catAx>
      <c:valAx>
        <c:axId val="62997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99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Minister / Deputy Minister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Sheet1!$B$17:$M$17</c:f>
              <c:numCache>
                <c:ptCount val="12"/>
                <c:pt idx="0">
                  <c:v>859</c:v>
                </c:pt>
                <c:pt idx="1">
                  <c:v>1361</c:v>
                </c:pt>
                <c:pt idx="2">
                  <c:v>815</c:v>
                </c:pt>
                <c:pt idx="3">
                  <c:v>1177</c:v>
                </c:pt>
                <c:pt idx="4">
                  <c:v>966</c:v>
                </c:pt>
                <c:pt idx="5">
                  <c:v>976</c:v>
                </c:pt>
                <c:pt idx="6">
                  <c:v>1070</c:v>
                </c:pt>
                <c:pt idx="7">
                  <c:v>1215</c:v>
                </c:pt>
                <c:pt idx="8">
                  <c:v>1041</c:v>
                </c:pt>
                <c:pt idx="9">
                  <c:v>805</c:v>
                </c:pt>
                <c:pt idx="10">
                  <c:v>872</c:v>
                </c:pt>
                <c:pt idx="11">
                  <c:v>618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Sheet1!$B$18:$M$18</c:f>
              <c:numCache>
                <c:ptCount val="12"/>
                <c:pt idx="0">
                  <c:v>896.75</c:v>
                </c:pt>
                <c:pt idx="1">
                  <c:v>896.75</c:v>
                </c:pt>
                <c:pt idx="2">
                  <c:v>896.75</c:v>
                </c:pt>
                <c:pt idx="3">
                  <c:v>896.75</c:v>
                </c:pt>
                <c:pt idx="4">
                  <c:v>896.75</c:v>
                </c:pt>
                <c:pt idx="5">
                  <c:v>896.75</c:v>
                </c:pt>
                <c:pt idx="6">
                  <c:v>896.75</c:v>
                </c:pt>
                <c:pt idx="7">
                  <c:v>896.75</c:v>
                </c:pt>
                <c:pt idx="8">
                  <c:v>896.75</c:v>
                </c:pt>
                <c:pt idx="9">
                  <c:v>896.75</c:v>
                </c:pt>
                <c:pt idx="10">
                  <c:v>896.75</c:v>
                </c:pt>
                <c:pt idx="11">
                  <c:v>896.75</c:v>
                </c:pt>
              </c:numCache>
            </c:numRef>
          </c:val>
        </c:ser>
        <c:axId val="30104150"/>
        <c:axId val="2501895"/>
      </c:barChart>
      <c:catAx>
        <c:axId val="30104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1895"/>
        <c:crosses val="autoZero"/>
        <c:auto val="1"/>
        <c:lblOffset val="100"/>
        <c:noMultiLvlLbl val="0"/>
      </c:catAx>
      <c:valAx>
        <c:axId val="2501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04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CEO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Sheet1!$B$20:$M$20</c:f>
              <c:numCache>
                <c:ptCount val="12"/>
                <c:pt idx="0">
                  <c:v>1171</c:v>
                </c:pt>
                <c:pt idx="1">
                  <c:v>740</c:v>
                </c:pt>
                <c:pt idx="2">
                  <c:v>768</c:v>
                </c:pt>
                <c:pt idx="3">
                  <c:v>734</c:v>
                </c:pt>
                <c:pt idx="4">
                  <c:v>646</c:v>
                </c:pt>
                <c:pt idx="5">
                  <c:v>823</c:v>
                </c:pt>
                <c:pt idx="6">
                  <c:v>808</c:v>
                </c:pt>
                <c:pt idx="7">
                  <c:v>941</c:v>
                </c:pt>
                <c:pt idx="8">
                  <c:v>932</c:v>
                </c:pt>
                <c:pt idx="9">
                  <c:v>454</c:v>
                </c:pt>
                <c:pt idx="10">
                  <c:v>1929</c:v>
                </c:pt>
                <c:pt idx="11">
                  <c:v>2076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Sheet1!$B$21:$M$21</c:f>
              <c:numCache>
                <c:ptCount val="12"/>
                <c:pt idx="0">
                  <c:v>1962.5833333333333</c:v>
                </c:pt>
                <c:pt idx="1">
                  <c:v>1962.5833333333333</c:v>
                </c:pt>
                <c:pt idx="2">
                  <c:v>1962.5833333333333</c:v>
                </c:pt>
                <c:pt idx="3">
                  <c:v>1962.5833333333333</c:v>
                </c:pt>
                <c:pt idx="4">
                  <c:v>1962.5833333333333</c:v>
                </c:pt>
                <c:pt idx="5">
                  <c:v>1962.5833333333333</c:v>
                </c:pt>
                <c:pt idx="6">
                  <c:v>1962.5833333333333</c:v>
                </c:pt>
                <c:pt idx="7">
                  <c:v>1962.5833333333333</c:v>
                </c:pt>
                <c:pt idx="8">
                  <c:v>1962.5833333333333</c:v>
                </c:pt>
                <c:pt idx="9">
                  <c:v>1962.5833333333333</c:v>
                </c:pt>
                <c:pt idx="10">
                  <c:v>1962.5833333333333</c:v>
                </c:pt>
                <c:pt idx="11">
                  <c:v>1962.5833333333333</c:v>
                </c:pt>
              </c:numCache>
            </c:numRef>
          </c:val>
        </c:ser>
        <c:axId val="22517056"/>
        <c:axId val="1326913"/>
      </c:barChart>
      <c:catAx>
        <c:axId val="22517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6913"/>
        <c:crosses val="autoZero"/>
        <c:auto val="1"/>
        <c:lblOffset val="100"/>
        <c:noMultiLvlLbl val="0"/>
      </c:catAx>
      <c:valAx>
        <c:axId val="1326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17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CFO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Sheet1!$B$23:$M$23</c:f>
              <c:numCache>
                <c:ptCount val="12"/>
                <c:pt idx="0">
                  <c:v>4108</c:v>
                </c:pt>
                <c:pt idx="1">
                  <c:v>7533</c:v>
                </c:pt>
                <c:pt idx="2">
                  <c:v>3242</c:v>
                </c:pt>
                <c:pt idx="3">
                  <c:v>4352</c:v>
                </c:pt>
                <c:pt idx="4">
                  <c:v>4045</c:v>
                </c:pt>
                <c:pt idx="5">
                  <c:v>10396</c:v>
                </c:pt>
                <c:pt idx="6">
                  <c:v>5050</c:v>
                </c:pt>
                <c:pt idx="7">
                  <c:v>3063</c:v>
                </c:pt>
                <c:pt idx="8">
                  <c:v>7819</c:v>
                </c:pt>
                <c:pt idx="9">
                  <c:v>5224</c:v>
                </c:pt>
                <c:pt idx="10">
                  <c:v>11731</c:v>
                </c:pt>
                <c:pt idx="11">
                  <c:v>7470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Sheet1!$B$24:$M$24</c:f>
              <c:numCache>
                <c:ptCount val="12"/>
                <c:pt idx="0">
                  <c:v>7228.25</c:v>
                </c:pt>
                <c:pt idx="1">
                  <c:v>7228.25</c:v>
                </c:pt>
                <c:pt idx="2">
                  <c:v>7228.25</c:v>
                </c:pt>
                <c:pt idx="3">
                  <c:v>7228.25</c:v>
                </c:pt>
                <c:pt idx="4">
                  <c:v>7228.25</c:v>
                </c:pt>
                <c:pt idx="5">
                  <c:v>7228.25</c:v>
                </c:pt>
                <c:pt idx="6">
                  <c:v>7228.25</c:v>
                </c:pt>
                <c:pt idx="7">
                  <c:v>7228.25</c:v>
                </c:pt>
                <c:pt idx="8">
                  <c:v>7228.25</c:v>
                </c:pt>
                <c:pt idx="9">
                  <c:v>7228.25</c:v>
                </c:pt>
                <c:pt idx="10">
                  <c:v>7228.25</c:v>
                </c:pt>
                <c:pt idx="11">
                  <c:v>7228.25</c:v>
                </c:pt>
              </c:numCache>
            </c:numRef>
          </c:val>
        </c:ser>
        <c:axId val="11942218"/>
        <c:axId val="40371099"/>
      </c:barChart>
      <c:catAx>
        <c:axId val="1194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71099"/>
        <c:crosses val="autoZero"/>
        <c:auto val="1"/>
        <c:lblOffset val="100"/>
        <c:noMultiLvlLbl val="0"/>
      </c:catAx>
      <c:valAx>
        <c:axId val="40371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42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Human Resources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Sheet1!$B$26:$M$26</c:f>
              <c:numCache>
                <c:ptCount val="12"/>
                <c:pt idx="0">
                  <c:v>4574</c:v>
                </c:pt>
                <c:pt idx="1">
                  <c:v>3655</c:v>
                </c:pt>
                <c:pt idx="2">
                  <c:v>5139</c:v>
                </c:pt>
                <c:pt idx="3">
                  <c:v>8651</c:v>
                </c:pt>
                <c:pt idx="4">
                  <c:v>7827</c:v>
                </c:pt>
                <c:pt idx="5">
                  <c:v>7354</c:v>
                </c:pt>
                <c:pt idx="6">
                  <c:v>2391</c:v>
                </c:pt>
                <c:pt idx="7">
                  <c:v>7028</c:v>
                </c:pt>
                <c:pt idx="8">
                  <c:v>7556</c:v>
                </c:pt>
                <c:pt idx="9">
                  <c:v>3905</c:v>
                </c:pt>
                <c:pt idx="10">
                  <c:v>6942</c:v>
                </c:pt>
                <c:pt idx="11">
                  <c:v>10740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Sheet1!$B$27:$M$27</c:f>
              <c:numCache>
                <c:ptCount val="12"/>
                <c:pt idx="0">
                  <c:v>5902.25</c:v>
                </c:pt>
                <c:pt idx="1">
                  <c:v>5902.25</c:v>
                </c:pt>
                <c:pt idx="2">
                  <c:v>5902.25</c:v>
                </c:pt>
                <c:pt idx="3">
                  <c:v>5902.25</c:v>
                </c:pt>
                <c:pt idx="4">
                  <c:v>5902.25</c:v>
                </c:pt>
                <c:pt idx="5">
                  <c:v>5902.25</c:v>
                </c:pt>
                <c:pt idx="6">
                  <c:v>5902.25</c:v>
                </c:pt>
                <c:pt idx="7">
                  <c:v>5902.25</c:v>
                </c:pt>
                <c:pt idx="8">
                  <c:v>5902.25</c:v>
                </c:pt>
                <c:pt idx="9">
                  <c:v>5902.25</c:v>
                </c:pt>
                <c:pt idx="10">
                  <c:v>5902.25</c:v>
                </c:pt>
                <c:pt idx="11">
                  <c:v>5902.25</c:v>
                </c:pt>
              </c:numCache>
            </c:numRef>
          </c:val>
        </c:ser>
        <c:axId val="27795572"/>
        <c:axId val="48833557"/>
      </c:barChart>
      <c:catAx>
        <c:axId val="2779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33557"/>
        <c:crosses val="autoZero"/>
        <c:auto val="1"/>
        <c:lblOffset val="100"/>
        <c:noMultiLvlLbl val="0"/>
      </c:catAx>
      <c:valAx>
        <c:axId val="48833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95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PEC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Sheet1!$B$32:$M$32</c:f>
              <c:numCache>
                <c:ptCount val="12"/>
                <c:pt idx="0">
                  <c:v>942</c:v>
                </c:pt>
                <c:pt idx="1">
                  <c:v>1108</c:v>
                </c:pt>
                <c:pt idx="2">
                  <c:v>1251</c:v>
                </c:pt>
                <c:pt idx="3">
                  <c:v>1366</c:v>
                </c:pt>
                <c:pt idx="4">
                  <c:v>1019</c:v>
                </c:pt>
                <c:pt idx="5">
                  <c:v>2080</c:v>
                </c:pt>
                <c:pt idx="6">
                  <c:v>1523</c:v>
                </c:pt>
                <c:pt idx="7">
                  <c:v>790</c:v>
                </c:pt>
                <c:pt idx="8">
                  <c:v>740</c:v>
                </c:pt>
                <c:pt idx="9">
                  <c:v>380</c:v>
                </c:pt>
                <c:pt idx="10">
                  <c:v>716</c:v>
                </c:pt>
                <c:pt idx="11">
                  <c:v>1323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Sheet1!$B$33:$M$33</c:f>
              <c:numCache>
                <c:ptCount val="12"/>
                <c:pt idx="0">
                  <c:v>942.25</c:v>
                </c:pt>
                <c:pt idx="1">
                  <c:v>942.25</c:v>
                </c:pt>
                <c:pt idx="2">
                  <c:v>942.25</c:v>
                </c:pt>
                <c:pt idx="3">
                  <c:v>942.25</c:v>
                </c:pt>
                <c:pt idx="4">
                  <c:v>942.25</c:v>
                </c:pt>
                <c:pt idx="5">
                  <c:v>942.25</c:v>
                </c:pt>
                <c:pt idx="6">
                  <c:v>942.25</c:v>
                </c:pt>
                <c:pt idx="7">
                  <c:v>942.25</c:v>
                </c:pt>
                <c:pt idx="8">
                  <c:v>942.25</c:v>
                </c:pt>
                <c:pt idx="9">
                  <c:v>942.25</c:v>
                </c:pt>
                <c:pt idx="10">
                  <c:v>942.25</c:v>
                </c:pt>
                <c:pt idx="11">
                  <c:v>942.25</c:v>
                </c:pt>
              </c:numCache>
            </c:numRef>
          </c:val>
        </c:ser>
        <c:axId val="36848830"/>
        <c:axId val="63204015"/>
      </c:barChart>
      <c:catAx>
        <c:axId val="3684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4015"/>
        <c:crosses val="autoZero"/>
        <c:auto val="1"/>
        <c:lblOffset val="100"/>
        <c:noMultiLvlLbl val="0"/>
      </c:catAx>
      <c:valAx>
        <c:axId val="63204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48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025"/>
          <c:w val="0.862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Sheet1!$B$35:$M$35</c:f>
              <c:numCache>
                <c:ptCount val="12"/>
                <c:pt idx="0">
                  <c:v>2719</c:v>
                </c:pt>
                <c:pt idx="1">
                  <c:v>59591</c:v>
                </c:pt>
                <c:pt idx="2">
                  <c:v>1668</c:v>
                </c:pt>
                <c:pt idx="3">
                  <c:v>119412</c:v>
                </c:pt>
                <c:pt idx="4">
                  <c:v>57085</c:v>
                </c:pt>
                <c:pt idx="5">
                  <c:v>66662</c:v>
                </c:pt>
                <c:pt idx="6">
                  <c:v>62469</c:v>
                </c:pt>
                <c:pt idx="7">
                  <c:v>72743</c:v>
                </c:pt>
                <c:pt idx="8">
                  <c:v>115774</c:v>
                </c:pt>
                <c:pt idx="9">
                  <c:v>69296</c:v>
                </c:pt>
                <c:pt idx="10">
                  <c:v>79191</c:v>
                </c:pt>
                <c:pt idx="11">
                  <c:v>221347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Sheet1!$B$36:$M$36</c:f>
              <c:numCache>
                <c:ptCount val="12"/>
                <c:pt idx="0">
                  <c:v>78526.33333333333</c:v>
                </c:pt>
                <c:pt idx="1">
                  <c:v>78526.33333333333</c:v>
                </c:pt>
                <c:pt idx="2">
                  <c:v>78526.33333333333</c:v>
                </c:pt>
                <c:pt idx="3">
                  <c:v>78526.33333333333</c:v>
                </c:pt>
                <c:pt idx="4">
                  <c:v>78526.33333333333</c:v>
                </c:pt>
                <c:pt idx="5">
                  <c:v>78526.33333333333</c:v>
                </c:pt>
                <c:pt idx="6">
                  <c:v>78526.33333333333</c:v>
                </c:pt>
                <c:pt idx="7">
                  <c:v>78526.33333333333</c:v>
                </c:pt>
                <c:pt idx="8">
                  <c:v>78526.33333333333</c:v>
                </c:pt>
                <c:pt idx="9">
                  <c:v>78526.33333333333</c:v>
                </c:pt>
                <c:pt idx="10">
                  <c:v>78526.33333333333</c:v>
                </c:pt>
                <c:pt idx="11">
                  <c:v>78526.33333333333</c:v>
                </c:pt>
              </c:numCache>
            </c:numRef>
          </c:val>
        </c:ser>
        <c:axId val="31965224"/>
        <c:axId val="19251561"/>
      </c:barChart>
      <c:catAx>
        <c:axId val="3196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51561"/>
        <c:crosses val="autoZero"/>
        <c:auto val="1"/>
        <c:lblOffset val="100"/>
        <c:noMultiLvlLbl val="0"/>
      </c:catAx>
      <c:valAx>
        <c:axId val="19251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5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45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Transfer Payments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Sheet1!$B$38:$L$38</c:f>
              <c:numCache>
                <c:ptCount val="11"/>
                <c:pt idx="0">
                  <c:v>82198</c:v>
                </c:pt>
                <c:pt idx="1">
                  <c:v>87674</c:v>
                </c:pt>
                <c:pt idx="2">
                  <c:v>141094</c:v>
                </c:pt>
                <c:pt idx="3">
                  <c:v>0</c:v>
                </c:pt>
                <c:pt idx="4">
                  <c:v>61923</c:v>
                </c:pt>
                <c:pt idx="5">
                  <c:v>64399</c:v>
                </c:pt>
                <c:pt idx="6">
                  <c:v>78332</c:v>
                </c:pt>
                <c:pt idx="7">
                  <c:v>62411</c:v>
                </c:pt>
                <c:pt idx="8">
                  <c:v>63810</c:v>
                </c:pt>
                <c:pt idx="9">
                  <c:v>78602</c:v>
                </c:pt>
                <c:pt idx="10">
                  <c:v>62219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Sheet1!$B$39:$L$39</c:f>
              <c:numCache>
                <c:ptCount val="11"/>
                <c:pt idx="0">
                  <c:v>67994</c:v>
                </c:pt>
                <c:pt idx="1">
                  <c:v>67994</c:v>
                </c:pt>
                <c:pt idx="2">
                  <c:v>67994</c:v>
                </c:pt>
                <c:pt idx="3">
                  <c:v>67994</c:v>
                </c:pt>
                <c:pt idx="4">
                  <c:v>67994</c:v>
                </c:pt>
                <c:pt idx="5">
                  <c:v>67994</c:v>
                </c:pt>
                <c:pt idx="6">
                  <c:v>67994</c:v>
                </c:pt>
                <c:pt idx="7">
                  <c:v>67994</c:v>
                </c:pt>
                <c:pt idx="8">
                  <c:v>67994</c:v>
                </c:pt>
                <c:pt idx="9">
                  <c:v>67994</c:v>
                </c:pt>
                <c:pt idx="10">
                  <c:v>67994</c:v>
                </c:pt>
              </c:numCache>
            </c:numRef>
          </c:val>
        </c:ser>
        <c:axId val="39046322"/>
        <c:axId val="15872579"/>
      </c:barChart>
      <c:catAx>
        <c:axId val="3904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72579"/>
        <c:crosses val="autoZero"/>
        <c:auto val="1"/>
        <c:lblOffset val="100"/>
        <c:noMultiLvlLbl val="0"/>
      </c:catAx>
      <c:valAx>
        <c:axId val="15872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46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Other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Sheet1!$B$41:$M$41</c:f>
              <c:numCache>
                <c:ptCount val="12"/>
                <c:pt idx="0">
                  <c:v>675</c:v>
                </c:pt>
                <c:pt idx="1">
                  <c:v>979</c:v>
                </c:pt>
                <c:pt idx="2">
                  <c:v>2750</c:v>
                </c:pt>
                <c:pt idx="3">
                  <c:v>1951</c:v>
                </c:pt>
                <c:pt idx="4">
                  <c:v>-8845</c:v>
                </c:pt>
                <c:pt idx="5">
                  <c:v>-679</c:v>
                </c:pt>
                <c:pt idx="6">
                  <c:v>194</c:v>
                </c:pt>
                <c:pt idx="7">
                  <c:v>3118</c:v>
                </c:pt>
                <c:pt idx="8">
                  <c:v>858</c:v>
                </c:pt>
                <c:pt idx="9">
                  <c:v>750</c:v>
                </c:pt>
                <c:pt idx="10">
                  <c:v>-1058</c:v>
                </c:pt>
                <c:pt idx="11">
                  <c:v>11276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Sheet1!$B$42:$M$42</c:f>
              <c:numCache>
                <c:ptCount val="12"/>
                <c:pt idx="0">
                  <c:v>1986</c:v>
                </c:pt>
                <c:pt idx="1">
                  <c:v>1986</c:v>
                </c:pt>
                <c:pt idx="2">
                  <c:v>1986</c:v>
                </c:pt>
                <c:pt idx="3">
                  <c:v>1986</c:v>
                </c:pt>
                <c:pt idx="4">
                  <c:v>1986</c:v>
                </c:pt>
                <c:pt idx="5">
                  <c:v>1986</c:v>
                </c:pt>
                <c:pt idx="6">
                  <c:v>1986</c:v>
                </c:pt>
                <c:pt idx="7">
                  <c:v>1986</c:v>
                </c:pt>
                <c:pt idx="8">
                  <c:v>1986</c:v>
                </c:pt>
                <c:pt idx="9">
                  <c:v>1986</c:v>
                </c:pt>
                <c:pt idx="10">
                  <c:v>1986</c:v>
                </c:pt>
                <c:pt idx="11">
                  <c:v>1986</c:v>
                </c:pt>
              </c:numCache>
            </c:numRef>
          </c:val>
        </c:ser>
        <c:axId val="8635484"/>
        <c:axId val="10610493"/>
      </c:barChart>
      <c:catAx>
        <c:axId val="863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0493"/>
        <c:crosses val="autoZero"/>
        <c:auto val="1"/>
        <c:lblOffset val="100"/>
        <c:noMultiLvlLbl val="0"/>
      </c:catAx>
      <c:valAx>
        <c:axId val="10610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5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Inventory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Sheet1!$B$55:$M$55</c:f>
              <c:numCache>
                <c:ptCount val="12"/>
                <c:pt idx="0">
                  <c:v>5721</c:v>
                </c:pt>
                <c:pt idx="1">
                  <c:v>4724</c:v>
                </c:pt>
                <c:pt idx="2">
                  <c:v>4990</c:v>
                </c:pt>
                <c:pt idx="3">
                  <c:v>6018</c:v>
                </c:pt>
                <c:pt idx="4">
                  <c:v>5019</c:v>
                </c:pt>
                <c:pt idx="5">
                  <c:v>5867</c:v>
                </c:pt>
                <c:pt idx="6">
                  <c:v>4541</c:v>
                </c:pt>
                <c:pt idx="7">
                  <c:v>5192</c:v>
                </c:pt>
                <c:pt idx="8">
                  <c:v>4880</c:v>
                </c:pt>
                <c:pt idx="9">
                  <c:v>5217</c:v>
                </c:pt>
                <c:pt idx="10">
                  <c:v>5580</c:v>
                </c:pt>
                <c:pt idx="11">
                  <c:v>68920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Sheet1!$B$56:$M$56</c:f>
              <c:numCache>
                <c:ptCount val="12"/>
                <c:pt idx="0">
                  <c:v>8278</c:v>
                </c:pt>
                <c:pt idx="1">
                  <c:v>8278</c:v>
                </c:pt>
                <c:pt idx="2">
                  <c:v>8278</c:v>
                </c:pt>
                <c:pt idx="3">
                  <c:v>8278</c:v>
                </c:pt>
                <c:pt idx="4">
                  <c:v>8278</c:v>
                </c:pt>
                <c:pt idx="5">
                  <c:v>8278</c:v>
                </c:pt>
                <c:pt idx="6">
                  <c:v>8278</c:v>
                </c:pt>
                <c:pt idx="7">
                  <c:v>8278</c:v>
                </c:pt>
                <c:pt idx="8">
                  <c:v>8278</c:v>
                </c:pt>
                <c:pt idx="9">
                  <c:v>8278</c:v>
                </c:pt>
                <c:pt idx="10">
                  <c:v>8278</c:v>
                </c:pt>
                <c:pt idx="11">
                  <c:v>8278</c:v>
                </c:pt>
              </c:numCache>
            </c:numRef>
          </c:val>
        </c:ser>
        <c:axId val="43304514"/>
        <c:axId val="54196307"/>
      </c:barChart>
      <c:catAx>
        <c:axId val="43304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96307"/>
        <c:crosses val="autoZero"/>
        <c:auto val="1"/>
        <c:lblOffset val="100"/>
        <c:noMultiLvlLbl val="0"/>
      </c:catAx>
      <c:valAx>
        <c:axId val="54196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04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Equipment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Sheet1!$B$58:$M$58</c:f>
              <c:numCache>
                <c:ptCount val="12"/>
                <c:pt idx="0">
                  <c:v>18074</c:v>
                </c:pt>
                <c:pt idx="1">
                  <c:v>-2855</c:v>
                </c:pt>
                <c:pt idx="2">
                  <c:v>7314</c:v>
                </c:pt>
                <c:pt idx="3">
                  <c:v>18141</c:v>
                </c:pt>
                <c:pt idx="4">
                  <c:v>8322</c:v>
                </c:pt>
                <c:pt idx="5">
                  <c:v>8669</c:v>
                </c:pt>
                <c:pt idx="6">
                  <c:v>7003</c:v>
                </c:pt>
                <c:pt idx="7">
                  <c:v>5246</c:v>
                </c:pt>
                <c:pt idx="8">
                  <c:v>9153</c:v>
                </c:pt>
                <c:pt idx="9">
                  <c:v>6119</c:v>
                </c:pt>
                <c:pt idx="10">
                  <c:v>14805</c:v>
                </c:pt>
                <c:pt idx="11">
                  <c:v>47971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Sheet1!$B$59:$M$59</c:f>
              <c:numCache>
                <c:ptCount val="12"/>
                <c:pt idx="0">
                  <c:v>15511</c:v>
                </c:pt>
                <c:pt idx="1">
                  <c:v>15511</c:v>
                </c:pt>
                <c:pt idx="2">
                  <c:v>15511</c:v>
                </c:pt>
                <c:pt idx="3">
                  <c:v>15511</c:v>
                </c:pt>
                <c:pt idx="4">
                  <c:v>15511</c:v>
                </c:pt>
                <c:pt idx="5">
                  <c:v>15511</c:v>
                </c:pt>
                <c:pt idx="6">
                  <c:v>15511</c:v>
                </c:pt>
                <c:pt idx="7">
                  <c:v>15511</c:v>
                </c:pt>
                <c:pt idx="8">
                  <c:v>15511</c:v>
                </c:pt>
                <c:pt idx="9">
                  <c:v>15511</c:v>
                </c:pt>
                <c:pt idx="10">
                  <c:v>15511</c:v>
                </c:pt>
                <c:pt idx="11">
                  <c:v>15511</c:v>
                </c:pt>
              </c:numCache>
            </c:numRef>
          </c:val>
        </c:ser>
        <c:axId val="18004716"/>
        <c:axId val="27824717"/>
      </c:barChart>
      <c:catAx>
        <c:axId val="1800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24717"/>
        <c:crosses val="autoZero"/>
        <c:auto val="1"/>
        <c:lblOffset val="100"/>
        <c:noMultiLvlLbl val="0"/>
      </c:catAx>
      <c:valAx>
        <c:axId val="27824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04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Land and Building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875"/>
          <c:w val="0.871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Sheet1!$B$61:$M$61</c:f>
              <c:numCache>
                <c:ptCount val="12"/>
                <c:pt idx="0">
                  <c:v>31</c:v>
                </c:pt>
                <c:pt idx="1">
                  <c:v>1</c:v>
                </c:pt>
                <c:pt idx="2">
                  <c:v>30497</c:v>
                </c:pt>
                <c:pt idx="3">
                  <c:v>18</c:v>
                </c:pt>
                <c:pt idx="4">
                  <c:v>174</c:v>
                </c:pt>
                <c:pt idx="5">
                  <c:v>57602</c:v>
                </c:pt>
                <c:pt idx="6">
                  <c:v>32202</c:v>
                </c:pt>
                <c:pt idx="7">
                  <c:v>204</c:v>
                </c:pt>
                <c:pt idx="8">
                  <c:v>3879</c:v>
                </c:pt>
                <c:pt idx="9">
                  <c:v>61139</c:v>
                </c:pt>
                <c:pt idx="10">
                  <c:v>5768</c:v>
                </c:pt>
                <c:pt idx="11">
                  <c:v>87299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Sheet1!$B$62:$M$62</c:f>
              <c:numCache>
                <c:ptCount val="12"/>
                <c:pt idx="0">
                  <c:v>24072</c:v>
                </c:pt>
                <c:pt idx="1">
                  <c:v>24072</c:v>
                </c:pt>
                <c:pt idx="2">
                  <c:v>24072</c:v>
                </c:pt>
                <c:pt idx="3">
                  <c:v>24072</c:v>
                </c:pt>
                <c:pt idx="4">
                  <c:v>24072</c:v>
                </c:pt>
                <c:pt idx="5">
                  <c:v>24072</c:v>
                </c:pt>
                <c:pt idx="6">
                  <c:v>24072</c:v>
                </c:pt>
                <c:pt idx="7">
                  <c:v>24072</c:v>
                </c:pt>
                <c:pt idx="8">
                  <c:v>24072</c:v>
                </c:pt>
                <c:pt idx="9">
                  <c:v>24072</c:v>
                </c:pt>
                <c:pt idx="10">
                  <c:v>24072</c:v>
                </c:pt>
                <c:pt idx="11">
                  <c:v>24072</c:v>
                </c:pt>
              </c:numCache>
            </c:numRef>
          </c:val>
        </c:ser>
        <c:axId val="49095862"/>
        <c:axId val="39209575"/>
      </c:barChart>
      <c:catAx>
        <c:axId val="4909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09575"/>
        <c:crosses val="autoZero"/>
        <c:auto val="1"/>
        <c:lblOffset val="100"/>
        <c:noMultiLvlLbl val="0"/>
      </c:catAx>
      <c:valAx>
        <c:axId val="39209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9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Professional and Special Services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2"/>
          <c:w val="0.8102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Sheet1!$B$64:$M$64</c:f>
              <c:numCache>
                <c:ptCount val="12"/>
                <c:pt idx="0">
                  <c:v>16502</c:v>
                </c:pt>
                <c:pt idx="1">
                  <c:v>23618</c:v>
                </c:pt>
                <c:pt idx="2">
                  <c:v>16565</c:v>
                </c:pt>
                <c:pt idx="3">
                  <c:v>30412</c:v>
                </c:pt>
                <c:pt idx="4">
                  <c:v>15778</c:v>
                </c:pt>
                <c:pt idx="5">
                  <c:v>27302</c:v>
                </c:pt>
                <c:pt idx="6">
                  <c:v>29877</c:v>
                </c:pt>
                <c:pt idx="7">
                  <c:v>30270</c:v>
                </c:pt>
                <c:pt idx="8">
                  <c:v>45217</c:v>
                </c:pt>
                <c:pt idx="9">
                  <c:v>28543</c:v>
                </c:pt>
                <c:pt idx="10">
                  <c:v>30900</c:v>
                </c:pt>
                <c:pt idx="11">
                  <c:v>59414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Sheet1!$B$65:$M$65</c:f>
              <c:numCache>
                <c:ptCount val="12"/>
                <c:pt idx="0">
                  <c:v>29529</c:v>
                </c:pt>
                <c:pt idx="1">
                  <c:v>29529</c:v>
                </c:pt>
                <c:pt idx="2">
                  <c:v>29529</c:v>
                </c:pt>
                <c:pt idx="3">
                  <c:v>29529</c:v>
                </c:pt>
                <c:pt idx="4">
                  <c:v>29529</c:v>
                </c:pt>
                <c:pt idx="5">
                  <c:v>29529</c:v>
                </c:pt>
                <c:pt idx="6">
                  <c:v>29529</c:v>
                </c:pt>
                <c:pt idx="7">
                  <c:v>29529</c:v>
                </c:pt>
                <c:pt idx="8">
                  <c:v>29529</c:v>
                </c:pt>
                <c:pt idx="9">
                  <c:v>29529</c:v>
                </c:pt>
                <c:pt idx="10">
                  <c:v>29529</c:v>
                </c:pt>
                <c:pt idx="11">
                  <c:v>29529</c:v>
                </c:pt>
              </c:numCache>
            </c:numRef>
          </c:val>
        </c:ser>
        <c:axId val="17341856"/>
        <c:axId val="21858977"/>
      </c:barChart>
      <c:catAx>
        <c:axId val="173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58977"/>
        <c:crosses val="autoZero"/>
        <c:auto val="1"/>
        <c:lblOffset val="100"/>
        <c:noMultiLvlLbl val="0"/>
      </c:catAx>
      <c:valAx>
        <c:axId val="21858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41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Transfer Payments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Sheet1!$B$67:$M$67</c:f>
              <c:numCache>
                <c:ptCount val="12"/>
                <c:pt idx="0">
                  <c:v>79152</c:v>
                </c:pt>
                <c:pt idx="1">
                  <c:v>62412</c:v>
                </c:pt>
                <c:pt idx="2">
                  <c:v>140745</c:v>
                </c:pt>
                <c:pt idx="3">
                  <c:v>0</c:v>
                </c:pt>
                <c:pt idx="4">
                  <c:v>62812</c:v>
                </c:pt>
                <c:pt idx="5">
                  <c:v>64312</c:v>
                </c:pt>
                <c:pt idx="6">
                  <c:v>78332</c:v>
                </c:pt>
                <c:pt idx="7">
                  <c:v>62411</c:v>
                </c:pt>
                <c:pt idx="8">
                  <c:v>63865</c:v>
                </c:pt>
                <c:pt idx="9">
                  <c:v>78575</c:v>
                </c:pt>
                <c:pt idx="10">
                  <c:v>62655</c:v>
                </c:pt>
                <c:pt idx="11">
                  <c:v>60656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Sheet1!$B$68:$M$68</c:f>
              <c:numCache>
                <c:ptCount val="12"/>
                <c:pt idx="0">
                  <c:v>67994</c:v>
                </c:pt>
                <c:pt idx="1">
                  <c:v>67994</c:v>
                </c:pt>
                <c:pt idx="2">
                  <c:v>67994</c:v>
                </c:pt>
                <c:pt idx="3">
                  <c:v>67994</c:v>
                </c:pt>
                <c:pt idx="4">
                  <c:v>67994</c:v>
                </c:pt>
                <c:pt idx="5">
                  <c:v>67994</c:v>
                </c:pt>
                <c:pt idx="6">
                  <c:v>67994</c:v>
                </c:pt>
                <c:pt idx="7">
                  <c:v>67994</c:v>
                </c:pt>
                <c:pt idx="8">
                  <c:v>67994</c:v>
                </c:pt>
                <c:pt idx="9">
                  <c:v>67994</c:v>
                </c:pt>
                <c:pt idx="10">
                  <c:v>67994</c:v>
                </c:pt>
                <c:pt idx="11">
                  <c:v>67994</c:v>
                </c:pt>
              </c:numCache>
            </c:numRef>
          </c:val>
        </c:ser>
        <c:axId val="62513066"/>
        <c:axId val="25746683"/>
      </c:barChart>
      <c:catAx>
        <c:axId val="62513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46683"/>
        <c:crosses val="autoZero"/>
        <c:auto val="1"/>
        <c:lblOffset val="100"/>
        <c:noMultiLvlLbl val="0"/>
      </c:catAx>
      <c:valAx>
        <c:axId val="25746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13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Miscellaneous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Sheet1!$B$70:$M$70</c:f>
              <c:numCache>
                <c:ptCount val="12"/>
                <c:pt idx="0">
                  <c:v>5089</c:v>
                </c:pt>
                <c:pt idx="1">
                  <c:v>4519</c:v>
                </c:pt>
                <c:pt idx="2">
                  <c:v>4730</c:v>
                </c:pt>
                <c:pt idx="3">
                  <c:v>5154</c:v>
                </c:pt>
                <c:pt idx="4">
                  <c:v>304</c:v>
                </c:pt>
                <c:pt idx="5">
                  <c:v>-1759</c:v>
                </c:pt>
                <c:pt idx="6">
                  <c:v>3883</c:v>
                </c:pt>
                <c:pt idx="7">
                  <c:v>8398</c:v>
                </c:pt>
                <c:pt idx="8">
                  <c:v>5350</c:v>
                </c:pt>
                <c:pt idx="9">
                  <c:v>-965</c:v>
                </c:pt>
                <c:pt idx="10">
                  <c:v>2651</c:v>
                </c:pt>
                <c:pt idx="11">
                  <c:v>67246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Sheet1!$B$71:$M$71</c:f>
              <c:numCache>
                <c:ptCount val="12"/>
                <c:pt idx="0">
                  <c:v>6863</c:v>
                </c:pt>
                <c:pt idx="1">
                  <c:v>6863</c:v>
                </c:pt>
                <c:pt idx="2">
                  <c:v>6863</c:v>
                </c:pt>
                <c:pt idx="3">
                  <c:v>6863</c:v>
                </c:pt>
                <c:pt idx="4">
                  <c:v>6863</c:v>
                </c:pt>
                <c:pt idx="5">
                  <c:v>6863</c:v>
                </c:pt>
                <c:pt idx="6">
                  <c:v>6863</c:v>
                </c:pt>
                <c:pt idx="7">
                  <c:v>6863</c:v>
                </c:pt>
                <c:pt idx="8">
                  <c:v>6863</c:v>
                </c:pt>
                <c:pt idx="9">
                  <c:v>6863</c:v>
                </c:pt>
                <c:pt idx="10">
                  <c:v>6863</c:v>
                </c:pt>
                <c:pt idx="11">
                  <c:v>6863</c:v>
                </c:pt>
              </c:numCache>
            </c:numRef>
          </c:val>
        </c:ser>
        <c:axId val="30393556"/>
        <c:axId val="5106549"/>
      </c:barChart>
      <c:catAx>
        <c:axId val="3039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6549"/>
        <c:crosses val="autoZero"/>
        <c:auto val="1"/>
        <c:lblOffset val="100"/>
        <c:noMultiLvlLbl val="0"/>
      </c:catAx>
      <c:valAx>
        <c:axId val="5106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93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Programme 1: Administration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Sheet1!$B$77:$M$77</c:f>
              <c:numCache>
                <c:ptCount val="12"/>
                <c:pt idx="0">
                  <c:v>32350</c:v>
                </c:pt>
                <c:pt idx="1">
                  <c:v>28625</c:v>
                </c:pt>
                <c:pt idx="2">
                  <c:v>30579</c:v>
                </c:pt>
                <c:pt idx="3">
                  <c:v>35310</c:v>
                </c:pt>
                <c:pt idx="4">
                  <c:v>27839</c:v>
                </c:pt>
                <c:pt idx="5">
                  <c:v>38373</c:v>
                </c:pt>
                <c:pt idx="6">
                  <c:v>34573</c:v>
                </c:pt>
                <c:pt idx="7">
                  <c:v>36288</c:v>
                </c:pt>
                <c:pt idx="8">
                  <c:v>39577</c:v>
                </c:pt>
                <c:pt idx="9">
                  <c:v>44776</c:v>
                </c:pt>
                <c:pt idx="10">
                  <c:v>51410</c:v>
                </c:pt>
                <c:pt idx="11">
                  <c:v>54546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Sheet1!$B$78:$M$78</c:f>
              <c:numCache>
                <c:ptCount val="12"/>
                <c:pt idx="0">
                  <c:v>31161</c:v>
                </c:pt>
                <c:pt idx="1">
                  <c:v>31161</c:v>
                </c:pt>
                <c:pt idx="2">
                  <c:v>31161</c:v>
                </c:pt>
                <c:pt idx="3">
                  <c:v>31161</c:v>
                </c:pt>
                <c:pt idx="4">
                  <c:v>31161</c:v>
                </c:pt>
                <c:pt idx="5">
                  <c:v>31161</c:v>
                </c:pt>
                <c:pt idx="6">
                  <c:v>31161</c:v>
                </c:pt>
                <c:pt idx="7">
                  <c:v>31161</c:v>
                </c:pt>
                <c:pt idx="8">
                  <c:v>31161</c:v>
                </c:pt>
                <c:pt idx="9">
                  <c:v>31161</c:v>
                </c:pt>
                <c:pt idx="10">
                  <c:v>31161</c:v>
                </c:pt>
                <c:pt idx="11">
                  <c:v>31161</c:v>
                </c:pt>
              </c:numCache>
            </c:numRef>
          </c:val>
        </c:ser>
        <c:axId val="45958942"/>
        <c:axId val="10977295"/>
      </c:barChart>
      <c:catAx>
        <c:axId val="45958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77295"/>
        <c:crosses val="autoZero"/>
        <c:auto val="1"/>
        <c:lblOffset val="100"/>
        <c:noMultiLvlLbl val="0"/>
      </c:catAx>
      <c:valAx>
        <c:axId val="10977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58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19050</xdr:colOff>
      <xdr:row>42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67800" cy="681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106</xdr:row>
      <xdr:rowOff>9525</xdr:rowOff>
    </xdr:from>
    <xdr:to>
      <xdr:col>12</xdr:col>
      <xdr:colOff>314325</xdr:colOff>
      <xdr:row>116</xdr:row>
      <xdr:rowOff>219075</xdr:rowOff>
    </xdr:to>
    <xdr:graphicFrame>
      <xdr:nvGraphicFramePr>
        <xdr:cNvPr id="1" name="Chart 947"/>
        <xdr:cNvGraphicFramePr/>
      </xdr:nvGraphicFramePr>
      <xdr:xfrm>
        <a:off x="0" y="26374725"/>
        <a:ext cx="46577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495300</xdr:colOff>
      <xdr:row>106</xdr:row>
      <xdr:rowOff>28575</xdr:rowOff>
    </xdr:from>
    <xdr:to>
      <xdr:col>18</xdr:col>
      <xdr:colOff>723900</xdr:colOff>
      <xdr:row>117</xdr:row>
      <xdr:rowOff>28575</xdr:rowOff>
    </xdr:to>
    <xdr:graphicFrame>
      <xdr:nvGraphicFramePr>
        <xdr:cNvPr id="2" name="Chart 948"/>
        <xdr:cNvGraphicFramePr/>
      </xdr:nvGraphicFramePr>
      <xdr:xfrm>
        <a:off x="4838700" y="2639377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12</xdr:col>
      <xdr:colOff>304800</xdr:colOff>
      <xdr:row>129</xdr:row>
      <xdr:rowOff>142875</xdr:rowOff>
    </xdr:to>
    <xdr:graphicFrame>
      <xdr:nvGraphicFramePr>
        <xdr:cNvPr id="3" name="Chart 951"/>
        <xdr:cNvGraphicFramePr/>
      </xdr:nvGraphicFramePr>
      <xdr:xfrm>
        <a:off x="0" y="29584650"/>
        <a:ext cx="46482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523875</xdr:colOff>
      <xdr:row>119</xdr:row>
      <xdr:rowOff>9525</xdr:rowOff>
    </xdr:from>
    <xdr:to>
      <xdr:col>18</xdr:col>
      <xdr:colOff>714375</xdr:colOff>
      <xdr:row>129</xdr:row>
      <xdr:rowOff>161925</xdr:rowOff>
    </xdr:to>
    <xdr:graphicFrame>
      <xdr:nvGraphicFramePr>
        <xdr:cNvPr id="4" name="Chart 952"/>
        <xdr:cNvGraphicFramePr/>
      </xdr:nvGraphicFramePr>
      <xdr:xfrm>
        <a:off x="4867275" y="29594175"/>
        <a:ext cx="46386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131</xdr:row>
      <xdr:rowOff>95250</xdr:rowOff>
    </xdr:from>
    <xdr:to>
      <xdr:col>12</xdr:col>
      <xdr:colOff>295275</xdr:colOff>
      <xdr:row>142</xdr:row>
      <xdr:rowOff>57150</xdr:rowOff>
    </xdr:to>
    <xdr:graphicFrame>
      <xdr:nvGraphicFramePr>
        <xdr:cNvPr id="5" name="Chart 953"/>
        <xdr:cNvGraphicFramePr/>
      </xdr:nvGraphicFramePr>
      <xdr:xfrm>
        <a:off x="0" y="32651700"/>
        <a:ext cx="463867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542925</xdr:colOff>
      <xdr:row>131</xdr:row>
      <xdr:rowOff>142875</xdr:rowOff>
    </xdr:from>
    <xdr:to>
      <xdr:col>18</xdr:col>
      <xdr:colOff>704850</xdr:colOff>
      <xdr:row>142</xdr:row>
      <xdr:rowOff>47625</xdr:rowOff>
    </xdr:to>
    <xdr:graphicFrame>
      <xdr:nvGraphicFramePr>
        <xdr:cNvPr id="6" name="Chart 954"/>
        <xdr:cNvGraphicFramePr/>
      </xdr:nvGraphicFramePr>
      <xdr:xfrm>
        <a:off x="4886325" y="32699325"/>
        <a:ext cx="46101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12</xdr:col>
      <xdr:colOff>314325</xdr:colOff>
      <xdr:row>154</xdr:row>
      <xdr:rowOff>171450</xdr:rowOff>
    </xdr:to>
    <xdr:graphicFrame>
      <xdr:nvGraphicFramePr>
        <xdr:cNvPr id="7" name="Chart 955"/>
        <xdr:cNvGraphicFramePr/>
      </xdr:nvGraphicFramePr>
      <xdr:xfrm>
        <a:off x="0" y="35775900"/>
        <a:ext cx="4657725" cy="2647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571500</xdr:colOff>
      <xdr:row>144</xdr:row>
      <xdr:rowOff>9525</xdr:rowOff>
    </xdr:from>
    <xdr:to>
      <xdr:col>19</xdr:col>
      <xdr:colOff>0</xdr:colOff>
      <xdr:row>154</xdr:row>
      <xdr:rowOff>171450</xdr:rowOff>
    </xdr:to>
    <xdr:graphicFrame>
      <xdr:nvGraphicFramePr>
        <xdr:cNvPr id="8" name="Chart 956"/>
        <xdr:cNvGraphicFramePr/>
      </xdr:nvGraphicFramePr>
      <xdr:xfrm>
        <a:off x="4914900" y="35785425"/>
        <a:ext cx="4610100" cy="2638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</xdr:row>
      <xdr:rowOff>228600</xdr:rowOff>
    </xdr:from>
    <xdr:to>
      <xdr:col>12</xdr:col>
      <xdr:colOff>276225</xdr:colOff>
      <xdr:row>37</xdr:row>
      <xdr:rowOff>200025</xdr:rowOff>
    </xdr:to>
    <xdr:graphicFrame>
      <xdr:nvGraphicFramePr>
        <xdr:cNvPr id="9" name="Chart 957"/>
        <xdr:cNvGraphicFramePr/>
      </xdr:nvGraphicFramePr>
      <xdr:xfrm>
        <a:off x="0" y="6705600"/>
        <a:ext cx="461962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523875</xdr:colOff>
      <xdr:row>26</xdr:row>
      <xdr:rowOff>228600</xdr:rowOff>
    </xdr:from>
    <xdr:to>
      <xdr:col>18</xdr:col>
      <xdr:colOff>714375</xdr:colOff>
      <xdr:row>37</xdr:row>
      <xdr:rowOff>228600</xdr:rowOff>
    </xdr:to>
    <xdr:graphicFrame>
      <xdr:nvGraphicFramePr>
        <xdr:cNvPr id="10" name="Chart 958"/>
        <xdr:cNvGraphicFramePr/>
      </xdr:nvGraphicFramePr>
      <xdr:xfrm>
        <a:off x="4867275" y="6705600"/>
        <a:ext cx="4638675" cy="2724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41</xdr:row>
      <xdr:rowOff>19050</xdr:rowOff>
    </xdr:from>
    <xdr:to>
      <xdr:col>12</xdr:col>
      <xdr:colOff>295275</xdr:colOff>
      <xdr:row>51</xdr:row>
      <xdr:rowOff>161925</xdr:rowOff>
    </xdr:to>
    <xdr:graphicFrame>
      <xdr:nvGraphicFramePr>
        <xdr:cNvPr id="11" name="Chart 959"/>
        <xdr:cNvGraphicFramePr/>
      </xdr:nvGraphicFramePr>
      <xdr:xfrm>
        <a:off x="38100" y="10210800"/>
        <a:ext cx="460057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542925</xdr:colOff>
      <xdr:row>41</xdr:row>
      <xdr:rowOff>28575</xdr:rowOff>
    </xdr:from>
    <xdr:to>
      <xdr:col>19</xdr:col>
      <xdr:colOff>0</xdr:colOff>
      <xdr:row>51</xdr:row>
      <xdr:rowOff>171450</xdr:rowOff>
    </xdr:to>
    <xdr:graphicFrame>
      <xdr:nvGraphicFramePr>
        <xdr:cNvPr id="12" name="Chart 960"/>
        <xdr:cNvGraphicFramePr/>
      </xdr:nvGraphicFramePr>
      <xdr:xfrm>
        <a:off x="4886325" y="10220325"/>
        <a:ext cx="4638675" cy="2619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</xdr:colOff>
      <xdr:row>53</xdr:row>
      <xdr:rowOff>95250</xdr:rowOff>
    </xdr:from>
    <xdr:to>
      <xdr:col>12</xdr:col>
      <xdr:colOff>371475</xdr:colOff>
      <xdr:row>64</xdr:row>
      <xdr:rowOff>57150</xdr:rowOff>
    </xdr:to>
    <xdr:graphicFrame>
      <xdr:nvGraphicFramePr>
        <xdr:cNvPr id="13" name="Chart 961"/>
        <xdr:cNvGraphicFramePr/>
      </xdr:nvGraphicFramePr>
      <xdr:xfrm>
        <a:off x="38100" y="13258800"/>
        <a:ext cx="4676775" cy="2686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542925</xdr:colOff>
      <xdr:row>53</xdr:row>
      <xdr:rowOff>66675</xdr:rowOff>
    </xdr:from>
    <xdr:to>
      <xdr:col>18</xdr:col>
      <xdr:colOff>695325</xdr:colOff>
      <xdr:row>64</xdr:row>
      <xdr:rowOff>28575</xdr:rowOff>
    </xdr:to>
    <xdr:graphicFrame>
      <xdr:nvGraphicFramePr>
        <xdr:cNvPr id="14" name="Chart 965"/>
        <xdr:cNvGraphicFramePr/>
      </xdr:nvGraphicFramePr>
      <xdr:xfrm>
        <a:off x="4886325" y="13230225"/>
        <a:ext cx="4600575" cy="2686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66</xdr:row>
      <xdr:rowOff>161925</xdr:rowOff>
    </xdr:from>
    <xdr:to>
      <xdr:col>12</xdr:col>
      <xdr:colOff>409575</xdr:colOff>
      <xdr:row>77</xdr:row>
      <xdr:rowOff>66675</xdr:rowOff>
    </xdr:to>
    <xdr:graphicFrame>
      <xdr:nvGraphicFramePr>
        <xdr:cNvPr id="15" name="Chart 966"/>
        <xdr:cNvGraphicFramePr/>
      </xdr:nvGraphicFramePr>
      <xdr:xfrm>
        <a:off x="0" y="16544925"/>
        <a:ext cx="4752975" cy="2628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41</xdr:row>
      <xdr:rowOff>0</xdr:rowOff>
    </xdr:from>
    <xdr:to>
      <xdr:col>7</xdr:col>
      <xdr:colOff>571500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352425" y="6638925"/>
        <a:ext cx="44862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20</xdr:row>
      <xdr:rowOff>114300</xdr:rowOff>
    </xdr:from>
    <xdr:to>
      <xdr:col>15</xdr:col>
      <xdr:colOff>457200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5114925" y="3352800"/>
        <a:ext cx="44862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266700</xdr:colOff>
      <xdr:row>60</xdr:row>
      <xdr:rowOff>28575</xdr:rowOff>
    </xdr:from>
    <xdr:to>
      <xdr:col>15</xdr:col>
      <xdr:colOff>495300</xdr:colOff>
      <xdr:row>77</xdr:row>
      <xdr:rowOff>123825</xdr:rowOff>
    </xdr:to>
    <xdr:graphicFrame>
      <xdr:nvGraphicFramePr>
        <xdr:cNvPr id="3" name="Chart 3"/>
        <xdr:cNvGraphicFramePr/>
      </xdr:nvGraphicFramePr>
      <xdr:xfrm>
        <a:off x="5143500" y="9744075"/>
        <a:ext cx="4495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238125</xdr:colOff>
      <xdr:row>41</xdr:row>
      <xdr:rowOff>19050</xdr:rowOff>
    </xdr:from>
    <xdr:to>
      <xdr:col>15</xdr:col>
      <xdr:colOff>495300</xdr:colOff>
      <xdr:row>58</xdr:row>
      <xdr:rowOff>123825</xdr:rowOff>
    </xdr:to>
    <xdr:graphicFrame>
      <xdr:nvGraphicFramePr>
        <xdr:cNvPr id="4" name="Chart 4"/>
        <xdr:cNvGraphicFramePr/>
      </xdr:nvGraphicFramePr>
      <xdr:xfrm>
        <a:off x="5114925" y="6657975"/>
        <a:ext cx="45243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361950</xdr:colOff>
      <xdr:row>20</xdr:row>
      <xdr:rowOff>114300</xdr:rowOff>
    </xdr:from>
    <xdr:to>
      <xdr:col>7</xdr:col>
      <xdr:colOff>571500</xdr:colOff>
      <xdr:row>38</xdr:row>
      <xdr:rowOff>57150</xdr:rowOff>
    </xdr:to>
    <xdr:graphicFrame>
      <xdr:nvGraphicFramePr>
        <xdr:cNvPr id="5" name="Chart 5"/>
        <xdr:cNvGraphicFramePr/>
      </xdr:nvGraphicFramePr>
      <xdr:xfrm>
        <a:off x="361950" y="3352800"/>
        <a:ext cx="447675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352425</xdr:colOff>
      <xdr:row>1</xdr:row>
      <xdr:rowOff>0</xdr:rowOff>
    </xdr:from>
    <xdr:to>
      <xdr:col>7</xdr:col>
      <xdr:colOff>571500</xdr:colOff>
      <xdr:row>18</xdr:row>
      <xdr:rowOff>114300</xdr:rowOff>
    </xdr:to>
    <xdr:graphicFrame>
      <xdr:nvGraphicFramePr>
        <xdr:cNvPr id="6" name="Chart 6"/>
        <xdr:cNvGraphicFramePr/>
      </xdr:nvGraphicFramePr>
      <xdr:xfrm>
        <a:off x="352425" y="161925"/>
        <a:ext cx="4486275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219075</xdr:colOff>
      <xdr:row>1</xdr:row>
      <xdr:rowOff>0</xdr:rowOff>
    </xdr:from>
    <xdr:to>
      <xdr:col>15</xdr:col>
      <xdr:colOff>457200</xdr:colOff>
      <xdr:row>18</xdr:row>
      <xdr:rowOff>95250</xdr:rowOff>
    </xdr:to>
    <xdr:graphicFrame>
      <xdr:nvGraphicFramePr>
        <xdr:cNvPr id="7" name="Chart 7"/>
        <xdr:cNvGraphicFramePr/>
      </xdr:nvGraphicFramePr>
      <xdr:xfrm>
        <a:off x="5095875" y="161925"/>
        <a:ext cx="4505325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266700</xdr:colOff>
      <xdr:row>100</xdr:row>
      <xdr:rowOff>142875</xdr:rowOff>
    </xdr:from>
    <xdr:to>
      <xdr:col>7</xdr:col>
      <xdr:colOff>542925</xdr:colOff>
      <xdr:row>118</xdr:row>
      <xdr:rowOff>76200</xdr:rowOff>
    </xdr:to>
    <xdr:graphicFrame>
      <xdr:nvGraphicFramePr>
        <xdr:cNvPr id="8" name="Chart 8"/>
        <xdr:cNvGraphicFramePr/>
      </xdr:nvGraphicFramePr>
      <xdr:xfrm>
        <a:off x="266700" y="16335375"/>
        <a:ext cx="4543425" cy="2847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257175</xdr:colOff>
      <xdr:row>81</xdr:row>
      <xdr:rowOff>0</xdr:rowOff>
    </xdr:from>
    <xdr:to>
      <xdr:col>7</xdr:col>
      <xdr:colOff>542925</xdr:colOff>
      <xdr:row>98</xdr:row>
      <xdr:rowOff>104775</xdr:rowOff>
    </xdr:to>
    <xdr:graphicFrame>
      <xdr:nvGraphicFramePr>
        <xdr:cNvPr id="9" name="Chart 9"/>
        <xdr:cNvGraphicFramePr/>
      </xdr:nvGraphicFramePr>
      <xdr:xfrm>
        <a:off x="257175" y="13115925"/>
        <a:ext cx="4552950" cy="2857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285750</xdr:colOff>
      <xdr:row>60</xdr:row>
      <xdr:rowOff>28575</xdr:rowOff>
    </xdr:from>
    <xdr:to>
      <xdr:col>7</xdr:col>
      <xdr:colOff>523875</xdr:colOff>
      <xdr:row>77</xdr:row>
      <xdr:rowOff>133350</xdr:rowOff>
    </xdr:to>
    <xdr:graphicFrame>
      <xdr:nvGraphicFramePr>
        <xdr:cNvPr id="10" name="Chart 10"/>
        <xdr:cNvGraphicFramePr/>
      </xdr:nvGraphicFramePr>
      <xdr:xfrm>
        <a:off x="285750" y="9744075"/>
        <a:ext cx="4505325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257175</xdr:colOff>
      <xdr:row>81</xdr:row>
      <xdr:rowOff>28575</xdr:rowOff>
    </xdr:from>
    <xdr:to>
      <xdr:col>15</xdr:col>
      <xdr:colOff>504825</xdr:colOff>
      <xdr:row>98</xdr:row>
      <xdr:rowOff>152400</xdr:rowOff>
    </xdr:to>
    <xdr:graphicFrame>
      <xdr:nvGraphicFramePr>
        <xdr:cNvPr id="11" name="Chart 11"/>
        <xdr:cNvGraphicFramePr/>
      </xdr:nvGraphicFramePr>
      <xdr:xfrm>
        <a:off x="5133975" y="13144500"/>
        <a:ext cx="4514850" cy="2876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257175</xdr:colOff>
      <xdr:row>123</xdr:row>
      <xdr:rowOff>19050</xdr:rowOff>
    </xdr:from>
    <xdr:to>
      <xdr:col>15</xdr:col>
      <xdr:colOff>457200</xdr:colOff>
      <xdr:row>140</xdr:row>
      <xdr:rowOff>133350</xdr:rowOff>
    </xdr:to>
    <xdr:graphicFrame>
      <xdr:nvGraphicFramePr>
        <xdr:cNvPr id="12" name="Chart 12"/>
        <xdr:cNvGraphicFramePr/>
      </xdr:nvGraphicFramePr>
      <xdr:xfrm>
        <a:off x="5133975" y="19935825"/>
        <a:ext cx="4467225" cy="2867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123</xdr:row>
      <xdr:rowOff>19050</xdr:rowOff>
    </xdr:from>
    <xdr:to>
      <xdr:col>7</xdr:col>
      <xdr:colOff>504825</xdr:colOff>
      <xdr:row>140</xdr:row>
      <xdr:rowOff>133350</xdr:rowOff>
    </xdr:to>
    <xdr:graphicFrame>
      <xdr:nvGraphicFramePr>
        <xdr:cNvPr id="13" name="Chart 13"/>
        <xdr:cNvGraphicFramePr/>
      </xdr:nvGraphicFramePr>
      <xdr:xfrm>
        <a:off x="257175" y="19935825"/>
        <a:ext cx="4514850" cy="2867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50" zoomScaleNormal="75" zoomScaleSheetLayoutView="50" workbookViewId="0" topLeftCell="A1">
      <selection activeCell="R50" sqref="R50"/>
    </sheetView>
  </sheetViews>
  <sheetFormatPr defaultColWidth="9.140625" defaultRowHeight="12.75"/>
  <cols>
    <col min="4" max="4" width="9.421875" style="0" customWidth="1"/>
    <col min="10" max="10" width="20.8515625" style="0" customWidth="1"/>
    <col min="12" max="12" width="5.8515625" style="0" customWidth="1"/>
    <col min="13" max="13" width="9.00390625" style="0" hidden="1" customWidth="1"/>
    <col min="14" max="14" width="5.140625" style="0" customWidth="1"/>
    <col min="15" max="15" width="5.57421875" style="0" customWidth="1"/>
    <col min="16" max="16" width="6.57421875" style="0" customWidth="1"/>
  </cols>
  <sheetData/>
  <printOptions/>
  <pageMargins left="0.23" right="0.16" top="0.84" bottom="0.5" header="0.11" footer="0.5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tabSelected="1" view="pageBreakPreview" zoomScale="50" zoomScaleSheetLayoutView="50" workbookViewId="0" topLeftCell="B12">
      <selection activeCell="R50" sqref="R50"/>
    </sheetView>
  </sheetViews>
  <sheetFormatPr defaultColWidth="9.140625" defaultRowHeight="12.75"/>
  <cols>
    <col min="2" max="2" width="77.140625" style="0" customWidth="1"/>
    <col min="3" max="3" width="20.28125" style="0" customWidth="1"/>
    <col min="4" max="4" width="9.421875" style="0" customWidth="1"/>
    <col min="14" max="14" width="8.7109375" style="0" customWidth="1"/>
    <col min="15" max="15" width="28.421875" style="0" customWidth="1"/>
    <col min="17" max="17" width="0.13671875" style="0" customWidth="1"/>
  </cols>
  <sheetData>
    <row r="1" s="11" customFormat="1" ht="20.25">
      <c r="A1" s="10"/>
    </row>
    <row r="2" ht="25.5">
      <c r="B2" s="108" t="s">
        <v>0</v>
      </c>
    </row>
    <row r="3" ht="15.75">
      <c r="B3" s="2"/>
    </row>
    <row r="4" spans="2:3" ht="19.5" customHeight="1">
      <c r="B4" s="5" t="s">
        <v>110</v>
      </c>
      <c r="C4" s="72" t="s">
        <v>109</v>
      </c>
    </row>
    <row r="5" spans="2:3" ht="19.5" customHeight="1">
      <c r="B5" s="3"/>
      <c r="C5" s="4"/>
    </row>
    <row r="6" spans="2:3" ht="19.5" customHeight="1">
      <c r="B6" s="5" t="s">
        <v>69</v>
      </c>
      <c r="C6" s="72" t="s">
        <v>145</v>
      </c>
    </row>
    <row r="7" spans="2:3" ht="19.5" customHeight="1">
      <c r="B7" s="3"/>
      <c r="C7" s="72"/>
    </row>
    <row r="8" spans="2:3" ht="19.5" customHeight="1">
      <c r="B8" s="5" t="s">
        <v>108</v>
      </c>
      <c r="C8" s="72">
        <v>12</v>
      </c>
    </row>
    <row r="9" spans="2:3" ht="19.5" customHeight="1">
      <c r="B9" s="3"/>
      <c r="C9" s="72"/>
    </row>
    <row r="10" spans="2:3" ht="19.5" customHeight="1">
      <c r="B10" s="5" t="s">
        <v>126</v>
      </c>
      <c r="C10" s="72" t="s">
        <v>146</v>
      </c>
    </row>
    <row r="11" spans="2:3" ht="19.5" customHeight="1">
      <c r="B11" s="3"/>
      <c r="C11" s="72"/>
    </row>
    <row r="12" spans="2:3" ht="19.5" customHeight="1">
      <c r="B12" s="5" t="s">
        <v>125</v>
      </c>
      <c r="C12" s="72" t="s">
        <v>147</v>
      </c>
    </row>
    <row r="13" spans="2:3" ht="19.5" customHeight="1">
      <c r="B13" s="3"/>
      <c r="C13" s="4"/>
    </row>
    <row r="14" spans="2:3" ht="19.5" customHeight="1">
      <c r="B14" s="3"/>
      <c r="C14" s="4"/>
    </row>
    <row r="15" spans="2:3" s="12" customFormat="1" ht="19.5" customHeight="1">
      <c r="B15" s="9" t="s">
        <v>1</v>
      </c>
      <c r="C15" s="8"/>
    </row>
    <row r="16" spans="2:3" s="12" customFormat="1" ht="19.5" customHeight="1">
      <c r="B16" s="9"/>
      <c r="C16" s="8"/>
    </row>
    <row r="17" spans="2:3" s="12" customFormat="1" ht="19.5" customHeight="1">
      <c r="B17" s="9" t="s">
        <v>148</v>
      </c>
      <c r="C17" s="8"/>
    </row>
    <row r="18" spans="2:3" s="12" customFormat="1" ht="15">
      <c r="B18" s="9" t="s">
        <v>70</v>
      </c>
      <c r="C18" s="8"/>
    </row>
    <row r="19" spans="2:3" ht="18.75">
      <c r="B19" s="6"/>
      <c r="C19" s="4"/>
    </row>
    <row r="20" ht="18.75">
      <c r="B20" s="1"/>
    </row>
    <row r="21" ht="15">
      <c r="B21" s="7"/>
    </row>
    <row r="22" ht="15.75">
      <c r="B22" s="2"/>
    </row>
    <row r="23" ht="15.75">
      <c r="B23" s="2"/>
    </row>
    <row r="31" ht="1.5" customHeight="1"/>
    <row r="32" ht="12.75" hidden="1"/>
    <row r="33" ht="12.75" hidden="1"/>
    <row r="34" ht="12.75" hidden="1"/>
    <row r="35" ht="12.75" hidden="1"/>
    <row r="36" ht="12.75" hidden="1"/>
    <row r="65" ht="12.75">
      <c r="C65" s="74"/>
    </row>
  </sheetData>
  <printOptions/>
  <pageMargins left="0.23" right="0.16" top="0.84" bottom="0.5" header="0.11" footer="0.5"/>
  <pageSetup horizontalDpi="300" verticalDpi="300" orientation="landscape" paperSize="9" scale="95" r:id="rId1"/>
  <headerFooter alignWithMargins="0">
    <oddHeader>&amp;C&amp;"Tahoma,Bold Italic"&amp;16&amp;EDEPARTMENT OF JUSTICE AND CONSTITUTIONAL DEVELOPMENT&amp;"Arial,Regular"&amp;10&amp;E
&amp;"Tahoma,Italic"&amp;16Preliminary Accounts for the period ending 31 March 2003 - R '000&amp;"Arial,Regular"&amp;10
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BreakPreview" zoomScale="75" zoomScaleNormal="75" zoomScaleSheetLayoutView="75" workbookViewId="0" topLeftCell="D18">
      <selection activeCell="R50" sqref="R50"/>
    </sheetView>
  </sheetViews>
  <sheetFormatPr defaultColWidth="9.140625" defaultRowHeight="12.75"/>
  <cols>
    <col min="1" max="1" width="11.7109375" style="15" customWidth="1"/>
    <col min="2" max="2" width="11.28125" style="15" customWidth="1"/>
    <col min="3" max="3" width="11.140625" style="15" customWidth="1"/>
    <col min="4" max="4" width="32.8515625" style="14" customWidth="1"/>
    <col min="5" max="5" width="6.00390625" style="15" customWidth="1"/>
    <col min="6" max="8" width="11.140625" style="15" customWidth="1"/>
    <col min="9" max="9" width="3.140625" style="15" customWidth="1"/>
    <col min="10" max="12" width="11.140625" style="15" customWidth="1"/>
    <col min="13" max="14" width="9.140625" style="12" customWidth="1"/>
    <col min="15" max="15" width="28.421875" style="12" customWidth="1"/>
    <col min="16" max="16384" width="9.140625" style="12" customWidth="1"/>
  </cols>
  <sheetData>
    <row r="1" spans="1:2" ht="19.5" customHeight="1">
      <c r="A1" s="16" t="s">
        <v>72</v>
      </c>
      <c r="B1" s="16"/>
    </row>
    <row r="2" spans="1:2" ht="3.75" customHeight="1">
      <c r="A2" s="16"/>
      <c r="B2" s="16"/>
    </row>
    <row r="3" spans="1:12" s="64" customFormat="1" ht="15.75" customHeight="1">
      <c r="A3" s="158" t="s">
        <v>58</v>
      </c>
      <c r="B3" s="158"/>
      <c r="C3" s="158"/>
      <c r="D3" s="83"/>
      <c r="E3" s="78"/>
      <c r="F3" s="158" t="s">
        <v>141</v>
      </c>
      <c r="G3" s="158"/>
      <c r="H3" s="158"/>
      <c r="I3" s="80"/>
      <c r="J3" s="158" t="s">
        <v>37</v>
      </c>
      <c r="K3" s="158"/>
      <c r="L3" s="158"/>
    </row>
    <row r="4" spans="1:12" s="65" customFormat="1" ht="19.5" customHeight="1">
      <c r="A4" s="69" t="s">
        <v>28</v>
      </c>
      <c r="B4" s="69" t="s">
        <v>27</v>
      </c>
      <c r="C4" s="69" t="s">
        <v>3</v>
      </c>
      <c r="D4" s="82"/>
      <c r="E4" s="80" t="s">
        <v>60</v>
      </c>
      <c r="F4" s="69" t="s">
        <v>3</v>
      </c>
      <c r="G4" s="69" t="s">
        <v>27</v>
      </c>
      <c r="H4" s="69" t="s">
        <v>28</v>
      </c>
      <c r="I4" s="69"/>
      <c r="J4" s="69" t="s">
        <v>3</v>
      </c>
      <c r="K4" s="69" t="s">
        <v>27</v>
      </c>
      <c r="L4" s="69" t="s">
        <v>28</v>
      </c>
    </row>
    <row r="5" spans="1:12" s="65" customFormat="1" ht="12.75" customHeight="1">
      <c r="A5" s="69"/>
      <c r="B5" s="69"/>
      <c r="C5" s="69"/>
      <c r="D5" s="82"/>
      <c r="E5" s="80"/>
      <c r="F5" s="69"/>
      <c r="G5" s="69"/>
      <c r="H5" s="69"/>
      <c r="I5" s="69"/>
      <c r="J5" s="69"/>
      <c r="K5" s="69"/>
      <c r="L5" s="69"/>
    </row>
    <row r="6" spans="1:12" s="14" customFormat="1" ht="19.5" customHeight="1">
      <c r="A6" s="47"/>
      <c r="B6" s="47"/>
      <c r="C6" s="15"/>
      <c r="D6" s="21" t="s">
        <v>2</v>
      </c>
      <c r="E6" s="27"/>
      <c r="F6" s="29"/>
      <c r="G6" s="29"/>
      <c r="H6" s="29"/>
      <c r="I6" s="29"/>
      <c r="J6" s="25"/>
      <c r="K6" s="30"/>
      <c r="L6" s="28"/>
    </row>
    <row r="7" spans="1:13" ht="19.5" customHeight="1">
      <c r="A7" s="35">
        <f>SUM(C7-B7)</f>
        <v>0</v>
      </c>
      <c r="B7" s="35">
        <f>+C7</f>
        <v>4251826</v>
      </c>
      <c r="C7" s="86">
        <f>+Income2!A7</f>
        <v>4251826</v>
      </c>
      <c r="D7" s="84" t="s">
        <v>4</v>
      </c>
      <c r="F7" s="86">
        <f>+Income2!P7</f>
        <v>354318</v>
      </c>
      <c r="G7" s="36">
        <f>+F7</f>
        <v>354318</v>
      </c>
      <c r="H7" s="36">
        <f>SUM(F7-G7)</f>
        <v>0</v>
      </c>
      <c r="I7" s="91"/>
      <c r="J7" s="86">
        <f>+Income2!Q7</f>
        <v>354319</v>
      </c>
      <c r="K7" s="36">
        <f>+J7</f>
        <v>354319</v>
      </c>
      <c r="L7" s="36">
        <f>+J7-K7</f>
        <v>0</v>
      </c>
      <c r="M7" s="88"/>
    </row>
    <row r="8" spans="1:12" ht="19.5" customHeight="1">
      <c r="A8" s="42">
        <f>SUM(A7:A7)</f>
        <v>0</v>
      </c>
      <c r="B8" s="42">
        <f>SUM(B7:B7)</f>
        <v>4251826</v>
      </c>
      <c r="C8" s="42">
        <f>SUM(C7:C7)</f>
        <v>4251826</v>
      </c>
      <c r="D8" s="73"/>
      <c r="E8" s="42"/>
      <c r="F8" s="42">
        <f>SUM(F7:F7)</f>
        <v>354318</v>
      </c>
      <c r="G8" s="42">
        <f>SUM(G7:G7)</f>
        <v>354318</v>
      </c>
      <c r="H8" s="42">
        <f>SUM(H7:H7)</f>
        <v>0</v>
      </c>
      <c r="I8" s="91"/>
      <c r="J8" s="51">
        <f>SUM(J7:J7)</f>
        <v>354319</v>
      </c>
      <c r="K8" s="52">
        <f>SUM(K7:K7)</f>
        <v>354319</v>
      </c>
      <c r="L8" s="81">
        <f>SUM(L7:L7)</f>
        <v>0</v>
      </c>
    </row>
    <row r="9" spans="1:12" ht="13.5" customHeight="1">
      <c r="A9" s="92"/>
      <c r="B9" s="92"/>
      <c r="C9" s="87"/>
      <c r="D9" s="31"/>
      <c r="E9" s="38"/>
      <c r="F9" s="46"/>
      <c r="G9" s="46"/>
      <c r="H9" s="46"/>
      <c r="I9" s="46"/>
      <c r="J9" s="46"/>
      <c r="K9" s="46"/>
      <c r="L9" s="46"/>
    </row>
    <row r="10" spans="1:12" ht="19.5" customHeight="1">
      <c r="A10" s="92"/>
      <c r="B10" s="92"/>
      <c r="C10" s="87"/>
      <c r="D10" s="53" t="s">
        <v>5</v>
      </c>
      <c r="F10" s="46"/>
      <c r="G10" s="46"/>
      <c r="H10" s="46"/>
      <c r="I10" s="46"/>
      <c r="J10" s="46"/>
      <c r="K10" s="46"/>
      <c r="L10" s="46"/>
    </row>
    <row r="11" spans="1:12" ht="19.5" customHeight="1">
      <c r="A11" s="35">
        <f>SUM(B11-C11)</f>
        <v>-97763</v>
      </c>
      <c r="B11" s="35">
        <f>+C7</f>
        <v>4251826</v>
      </c>
      <c r="C11" s="86">
        <f>+Income2!A10</f>
        <v>4349589</v>
      </c>
      <c r="D11" s="84" t="s">
        <v>6</v>
      </c>
      <c r="E11" s="90"/>
      <c r="F11" s="36">
        <f>+Income2!P10</f>
        <v>640993</v>
      </c>
      <c r="G11" s="36">
        <f>+F7</f>
        <v>354318</v>
      </c>
      <c r="H11" s="36">
        <f>+G11-F11</f>
        <v>-286675</v>
      </c>
      <c r="I11" s="91"/>
      <c r="J11" s="36">
        <f>+Income2!Q10</f>
        <v>362465.75</v>
      </c>
      <c r="K11" s="36">
        <f>+J7</f>
        <v>354319</v>
      </c>
      <c r="L11" s="86">
        <f>+K11-J11</f>
        <v>-8146.75</v>
      </c>
    </row>
    <row r="12" spans="1:12" s="62" customFormat="1" ht="16.5" customHeight="1">
      <c r="A12" s="42">
        <f>SUM(A11:A11)</f>
        <v>-97763</v>
      </c>
      <c r="B12" s="42">
        <f>SUM(B11:B11)</f>
        <v>4251826</v>
      </c>
      <c r="C12" s="42">
        <f>SUM(C11:C11)</f>
        <v>4349589</v>
      </c>
      <c r="D12" s="85" t="s">
        <v>7</v>
      </c>
      <c r="E12" s="99"/>
      <c r="F12" s="42">
        <f>SUM(F11:F11)</f>
        <v>640993</v>
      </c>
      <c r="G12" s="42">
        <f>SUM(G11:G11)</f>
        <v>354318</v>
      </c>
      <c r="H12" s="42">
        <f>SUM(H11:H11)</f>
        <v>-286675</v>
      </c>
      <c r="I12" s="99"/>
      <c r="J12" s="42">
        <f>SUM(J11:J11)</f>
        <v>362465.75</v>
      </c>
      <c r="K12" s="42">
        <f>SUM(K11:K11)</f>
        <v>354319</v>
      </c>
      <c r="L12" s="42">
        <f>SUM(L11:L11)</f>
        <v>-8146.75</v>
      </c>
    </row>
    <row r="13" spans="1:13" ht="17.25" customHeight="1">
      <c r="A13" s="42"/>
      <c r="B13" s="42"/>
      <c r="C13" s="87"/>
      <c r="D13" s="21"/>
      <c r="E13" s="42"/>
      <c r="F13" s="42"/>
      <c r="G13" s="42"/>
      <c r="H13" s="42"/>
      <c r="I13" s="42"/>
      <c r="J13" s="42"/>
      <c r="K13" s="42"/>
      <c r="L13" s="52"/>
      <c r="M13" s="79"/>
    </row>
    <row r="14" spans="1:12" ht="13.5" customHeight="1">
      <c r="A14" s="93"/>
      <c r="B14" s="93"/>
      <c r="C14" s="94"/>
      <c r="D14" s="85" t="s">
        <v>61</v>
      </c>
      <c r="F14" s="93"/>
      <c r="G14" s="93"/>
      <c r="H14" s="93"/>
      <c r="I14" s="42"/>
      <c r="J14" s="93"/>
      <c r="K14" s="95"/>
      <c r="L14" s="96"/>
    </row>
    <row r="15" spans="1:12" ht="15.75" customHeight="1" thickBot="1">
      <c r="A15" s="20">
        <f>SUM(A12+A8)</f>
        <v>-97763</v>
      </c>
      <c r="B15" s="20">
        <f>SUM(B8-B12)</f>
        <v>0</v>
      </c>
      <c r="C15" s="20">
        <f>SUM(C8-C12)</f>
        <v>-97763</v>
      </c>
      <c r="D15" s="85" t="s">
        <v>30</v>
      </c>
      <c r="F15" s="97">
        <f>+F8-F12</f>
        <v>-286675</v>
      </c>
      <c r="G15" s="97">
        <v>0</v>
      </c>
      <c r="H15" s="97">
        <f>+H12+H8</f>
        <v>-286675</v>
      </c>
      <c r="J15" s="97">
        <f>+J8-J12</f>
        <v>-8146.75</v>
      </c>
      <c r="K15" s="97">
        <f>+K8-K12</f>
        <v>0</v>
      </c>
      <c r="L15" s="97">
        <f>+L12+L8</f>
        <v>-8146.75</v>
      </c>
    </row>
    <row r="16" spans="1:12" ht="19.5" customHeight="1" thickTop="1">
      <c r="A16" s="38"/>
      <c r="B16" s="38"/>
      <c r="C16" s="38"/>
      <c r="D16" s="31"/>
      <c r="E16" s="24"/>
      <c r="F16" s="33"/>
      <c r="G16" s="33"/>
      <c r="H16" s="33"/>
      <c r="I16" s="33"/>
      <c r="J16" s="33"/>
      <c r="K16" s="46"/>
      <c r="L16" s="46"/>
    </row>
    <row r="17" spans="1:12" ht="12.75" customHeight="1">
      <c r="A17" s="38"/>
      <c r="B17" s="38"/>
      <c r="C17" s="41"/>
      <c r="D17" s="21" t="s">
        <v>8</v>
      </c>
      <c r="E17" s="41"/>
      <c r="F17" s="33"/>
      <c r="G17" s="33"/>
      <c r="H17" s="33"/>
      <c r="I17" s="33"/>
      <c r="J17" s="33"/>
      <c r="K17" s="33"/>
      <c r="L17" s="33"/>
    </row>
    <row r="18" spans="1:12" ht="19.5" customHeight="1">
      <c r="A18" s="32">
        <f>+B18-C18</f>
        <v>-59774</v>
      </c>
      <c r="B18" s="32">
        <v>406715</v>
      </c>
      <c r="C18" s="32">
        <v>466489</v>
      </c>
      <c r="D18" s="84" t="s">
        <v>9</v>
      </c>
      <c r="E18" s="84">
        <v>18</v>
      </c>
      <c r="F18" s="32">
        <f>+Income2!P15</f>
        <v>54546</v>
      </c>
      <c r="G18" s="32">
        <f>+Income2!R15</f>
        <v>31161</v>
      </c>
      <c r="H18" s="32">
        <f>+G18-F18</f>
        <v>-23385</v>
      </c>
      <c r="I18" s="33"/>
      <c r="J18" s="32">
        <v>38874</v>
      </c>
      <c r="K18" s="32">
        <v>33893</v>
      </c>
      <c r="L18" s="32">
        <f>+K18-J18</f>
        <v>-4981</v>
      </c>
    </row>
    <row r="19" spans="1:12" ht="19.5" customHeight="1">
      <c r="A19" s="32">
        <f>+B19-C19</f>
        <v>193557</v>
      </c>
      <c r="B19" s="32">
        <v>1740735</v>
      </c>
      <c r="C19" s="32">
        <v>1547178</v>
      </c>
      <c r="D19" s="84" t="s">
        <v>98</v>
      </c>
      <c r="E19" s="84">
        <v>19</v>
      </c>
      <c r="F19" s="32">
        <f>+Income2!P17</f>
        <v>174745</v>
      </c>
      <c r="G19" s="32">
        <f>+Income2!R17-1</f>
        <v>147791</v>
      </c>
      <c r="H19" s="32">
        <f>+G19-F19</f>
        <v>-26954</v>
      </c>
      <c r="I19" s="33"/>
      <c r="J19" s="32">
        <v>128932</v>
      </c>
      <c r="K19" s="32">
        <v>145061</v>
      </c>
      <c r="L19" s="32">
        <f>+K19-J19+1</f>
        <v>16130</v>
      </c>
    </row>
    <row r="20" spans="1:12" ht="19.5" customHeight="1">
      <c r="A20" s="32">
        <f>+B20-C20</f>
        <v>26878</v>
      </c>
      <c r="B20" s="32">
        <v>195722</v>
      </c>
      <c r="C20" s="45">
        <v>168844</v>
      </c>
      <c r="D20" s="84" t="s">
        <v>99</v>
      </c>
      <c r="E20" s="84">
        <v>20</v>
      </c>
      <c r="F20" s="32">
        <f>+Income2!P18</f>
        <v>18161</v>
      </c>
      <c r="G20" s="32">
        <f>+Income2!R18</f>
        <v>16310</v>
      </c>
      <c r="H20" s="32">
        <f>+G20-F20</f>
        <v>-1851</v>
      </c>
      <c r="I20" s="33"/>
      <c r="J20" s="32">
        <f>+Income2!Q18</f>
        <v>14070.333333333334</v>
      </c>
      <c r="K20" s="32">
        <v>16310</v>
      </c>
      <c r="L20" s="32">
        <f>+K20-J20</f>
        <v>2239.666666666666</v>
      </c>
    </row>
    <row r="21" spans="1:12" ht="19.5" customHeight="1">
      <c r="A21" s="45"/>
      <c r="B21" s="32"/>
      <c r="D21" s="84" t="s">
        <v>100</v>
      </c>
      <c r="E21" s="109"/>
      <c r="F21" s="12"/>
      <c r="G21" s="32"/>
      <c r="H21" s="33"/>
      <c r="I21" s="33"/>
      <c r="J21" s="12"/>
      <c r="K21" s="45"/>
      <c r="L21" s="32"/>
    </row>
    <row r="22" spans="1:12" ht="19.5" customHeight="1">
      <c r="A22" s="32">
        <f>+B22-C22</f>
        <v>20872</v>
      </c>
      <c r="B22" s="32">
        <v>948568</v>
      </c>
      <c r="C22" s="45">
        <v>927696</v>
      </c>
      <c r="D22" s="84" t="s">
        <v>34</v>
      </c>
      <c r="E22" s="84">
        <v>20</v>
      </c>
      <c r="F22" s="32">
        <f>+Income2!P20</f>
        <v>221408</v>
      </c>
      <c r="G22" s="32">
        <f>+Income2!R20</f>
        <v>79047</v>
      </c>
      <c r="H22" s="32">
        <f>+G22-F22</f>
        <v>-142361</v>
      </c>
      <c r="I22" s="33"/>
      <c r="J22" s="32">
        <f>+Income2!Q20</f>
        <v>77308</v>
      </c>
      <c r="K22" s="32">
        <v>79047</v>
      </c>
      <c r="L22" s="32">
        <f>+K22-J22</f>
        <v>1739</v>
      </c>
    </row>
    <row r="23" spans="1:12" ht="19.5" customHeight="1">
      <c r="A23" s="45"/>
      <c r="B23" s="32"/>
      <c r="D23" s="84" t="s">
        <v>33</v>
      </c>
      <c r="E23" s="109"/>
      <c r="F23" s="12"/>
      <c r="G23" s="45"/>
      <c r="H23" s="33"/>
      <c r="I23" s="33"/>
      <c r="J23" s="12"/>
      <c r="K23" s="45"/>
      <c r="L23" s="33"/>
    </row>
    <row r="24" spans="1:12" ht="19.5" customHeight="1">
      <c r="A24" s="32">
        <f>+B24-C24</f>
        <v>-263806</v>
      </c>
      <c r="B24" s="32">
        <f>+G24*12-22</f>
        <v>960086</v>
      </c>
      <c r="C24" s="32">
        <v>1223892</v>
      </c>
      <c r="D24" s="84" t="s">
        <v>35</v>
      </c>
      <c r="E24" s="84">
        <v>21</v>
      </c>
      <c r="F24" s="32">
        <f>+Income2!P22</f>
        <v>162594</v>
      </c>
      <c r="G24" s="32">
        <f>+Income2!R22</f>
        <v>80009</v>
      </c>
      <c r="H24" s="32">
        <f>+G24-F24</f>
        <v>-82585</v>
      </c>
      <c r="I24" s="33"/>
      <c r="J24" s="32">
        <v>101991</v>
      </c>
      <c r="K24" s="32">
        <v>80007</v>
      </c>
      <c r="L24" s="32">
        <f>+K24-J24</f>
        <v>-21984</v>
      </c>
    </row>
    <row r="25" spans="1:12" ht="19.5" customHeight="1">
      <c r="A25" s="32">
        <f>+B25-C25</f>
        <v>-15490</v>
      </c>
      <c r="B25" s="32">
        <f>+G25*10</f>
        <v>0</v>
      </c>
      <c r="C25" s="32">
        <v>15490</v>
      </c>
      <c r="D25" s="84" t="s">
        <v>10</v>
      </c>
      <c r="E25" s="89">
        <v>17</v>
      </c>
      <c r="F25" s="32">
        <f>+Income2!P23</f>
        <v>9726</v>
      </c>
      <c r="G25" s="32">
        <v>0</v>
      </c>
      <c r="H25" s="32">
        <f>+G25-F25</f>
        <v>-9726</v>
      </c>
      <c r="I25" s="46"/>
      <c r="J25" s="32">
        <f>+Income2!Q23</f>
        <v>1290.8333333333333</v>
      </c>
      <c r="K25" s="32">
        <v>0</v>
      </c>
      <c r="L25" s="32">
        <f>+K25-J25</f>
        <v>-1290.8333333333333</v>
      </c>
    </row>
    <row r="26" spans="1:12" ht="19.5" customHeight="1">
      <c r="A26" s="32">
        <v>0</v>
      </c>
      <c r="B26" s="32">
        <f>+G26*10</f>
        <v>0</v>
      </c>
      <c r="C26" s="15">
        <v>0</v>
      </c>
      <c r="D26" s="84" t="s">
        <v>120</v>
      </c>
      <c r="E26" s="89">
        <v>17</v>
      </c>
      <c r="F26" s="32">
        <f>+Income2!P24</f>
        <v>-187</v>
      </c>
      <c r="G26" s="32">
        <v>0</v>
      </c>
      <c r="H26" s="32">
        <f>+G26-F26</f>
        <v>187</v>
      </c>
      <c r="I26" s="46"/>
      <c r="J26" s="32">
        <v>0</v>
      </c>
      <c r="K26" s="32">
        <v>0</v>
      </c>
      <c r="L26" s="32">
        <v>0</v>
      </c>
    </row>
    <row r="27" spans="1:12" ht="19.5" customHeight="1" thickBot="1">
      <c r="A27" s="40">
        <f>SUM(A18:A26)</f>
        <v>-97763</v>
      </c>
      <c r="B27" s="40">
        <f>SUM(B18:B26)</f>
        <v>4251826</v>
      </c>
      <c r="C27" s="40">
        <f>SUM(C18:C25)</f>
        <v>4349589</v>
      </c>
      <c r="D27" s="31"/>
      <c r="E27" s="42"/>
      <c r="F27" s="40">
        <f>SUM(F18:F26)</f>
        <v>640993</v>
      </c>
      <c r="G27" s="40">
        <f>SUM(G18:G26)</f>
        <v>354318</v>
      </c>
      <c r="H27" s="40">
        <f>SUM(H18:H26)</f>
        <v>-286675</v>
      </c>
      <c r="I27" s="42"/>
      <c r="J27" s="40">
        <f>SUM(J18:J26)</f>
        <v>362466.1666666667</v>
      </c>
      <c r="K27" s="40">
        <f>SUM(K18:K26)</f>
        <v>354318</v>
      </c>
      <c r="L27" s="40">
        <f>SUM(L18:L26)+2</f>
        <v>-8145.166666666667</v>
      </c>
    </row>
    <row r="28" spans="1:12" ht="19.5" customHeight="1" thickTop="1">
      <c r="A28" s="42"/>
      <c r="B28" s="42"/>
      <c r="C28" s="42"/>
      <c r="D28" s="31"/>
      <c r="E28" s="42"/>
      <c r="F28" s="42"/>
      <c r="G28" s="42"/>
      <c r="H28" s="42"/>
      <c r="I28" s="42"/>
      <c r="J28" s="42"/>
      <c r="K28" s="42"/>
      <c r="L28" s="42"/>
    </row>
    <row r="29" spans="1:12" ht="19.5" customHeight="1">
      <c r="A29" s="42"/>
      <c r="B29" s="42"/>
      <c r="C29" s="42"/>
      <c r="D29" s="31"/>
      <c r="E29" s="42"/>
      <c r="F29" s="42"/>
      <c r="G29" s="42"/>
      <c r="H29" s="42"/>
      <c r="I29" s="42"/>
      <c r="J29" s="42"/>
      <c r="K29" s="42"/>
      <c r="L29" s="42"/>
    </row>
    <row r="30" spans="1:12" ht="19.5" customHeight="1">
      <c r="A30" s="42"/>
      <c r="B30" s="42"/>
      <c r="C30" s="42"/>
      <c r="D30" s="31"/>
      <c r="E30" s="42"/>
      <c r="F30" s="42"/>
      <c r="G30" s="42"/>
      <c r="H30" s="42"/>
      <c r="I30" s="42"/>
      <c r="J30" s="42"/>
      <c r="K30" s="42"/>
      <c r="L30" s="42"/>
    </row>
    <row r="31" spans="1:12" s="64" customFormat="1" ht="19.5" customHeight="1">
      <c r="A31" s="158" t="s">
        <v>58</v>
      </c>
      <c r="B31" s="158"/>
      <c r="C31" s="158"/>
      <c r="D31" s="83"/>
      <c r="E31" s="78"/>
      <c r="F31" s="158" t="s">
        <v>141</v>
      </c>
      <c r="G31" s="158"/>
      <c r="H31" s="158"/>
      <c r="I31" s="80"/>
      <c r="J31" s="158" t="s">
        <v>37</v>
      </c>
      <c r="K31" s="158"/>
      <c r="L31" s="158"/>
    </row>
    <row r="32" spans="1:12" s="65" customFormat="1" ht="19.5" customHeight="1">
      <c r="A32" s="69" t="s">
        <v>28</v>
      </c>
      <c r="B32" s="69" t="s">
        <v>27</v>
      </c>
      <c r="C32" s="69" t="s">
        <v>3</v>
      </c>
      <c r="D32" s="82"/>
      <c r="E32" s="80" t="s">
        <v>60</v>
      </c>
      <c r="F32" s="69" t="s">
        <v>3</v>
      </c>
      <c r="G32" s="69" t="s">
        <v>27</v>
      </c>
      <c r="H32" s="69" t="s">
        <v>28</v>
      </c>
      <c r="I32" s="69"/>
      <c r="J32" s="69" t="s">
        <v>3</v>
      </c>
      <c r="K32" s="69" t="s">
        <v>27</v>
      </c>
      <c r="L32" s="69" t="s">
        <v>28</v>
      </c>
    </row>
    <row r="33" spans="1:12" ht="19.5" customHeight="1">
      <c r="A33" s="38"/>
      <c r="B33" s="38"/>
      <c r="C33" s="12"/>
      <c r="D33" s="12"/>
      <c r="E33" s="12"/>
      <c r="F33" s="29"/>
      <c r="G33" s="29"/>
      <c r="H33" s="29"/>
      <c r="I33" s="29"/>
      <c r="J33" s="25"/>
      <c r="K33" s="30"/>
      <c r="L33" s="28"/>
    </row>
    <row r="34" spans="1:12" ht="19.5" customHeight="1">
      <c r="A34" s="38"/>
      <c r="B34" s="38"/>
      <c r="D34" s="160" t="s">
        <v>11</v>
      </c>
      <c r="E34" s="160"/>
      <c r="F34" s="41"/>
      <c r="G34" s="29"/>
      <c r="H34" s="29"/>
      <c r="I34" s="29"/>
      <c r="J34" s="25"/>
      <c r="K34" s="30"/>
      <c r="L34" s="28"/>
    </row>
    <row r="35" spans="1:12" ht="19.5" customHeight="1">
      <c r="A35" s="32">
        <f aca="true" t="shared" si="0" ref="A35:A42">SUM(B35-C35)</f>
        <v>-58134</v>
      </c>
      <c r="B35" s="32">
        <f>+G35*12+10</f>
        <v>2167486</v>
      </c>
      <c r="C35" s="32">
        <f>+Income2!A83</f>
        <v>2225620</v>
      </c>
      <c r="D35" s="84" t="s">
        <v>12</v>
      </c>
      <c r="E35" s="32"/>
      <c r="F35" s="32">
        <f>+Income2!P83</f>
        <v>203689</v>
      </c>
      <c r="G35" s="33">
        <f>+Income2!R83-1</f>
        <v>180623</v>
      </c>
      <c r="H35" s="32">
        <f>SUM(G35-F35)</f>
        <v>-23066</v>
      </c>
      <c r="I35" s="33"/>
      <c r="J35" s="32">
        <f>+Income2!Q83</f>
        <v>185468.33333333334</v>
      </c>
      <c r="K35" s="33">
        <v>180624</v>
      </c>
      <c r="L35" s="33">
        <f aca="true" t="shared" si="1" ref="L35:L43">SUM(K35-J35)</f>
        <v>-4844.333333333343</v>
      </c>
    </row>
    <row r="36" spans="1:12" ht="19.5" customHeight="1">
      <c r="A36" s="32">
        <f t="shared" si="0"/>
        <v>-38223</v>
      </c>
      <c r="B36" s="32">
        <f aca="true" t="shared" si="2" ref="B36:B42">+G36*12</f>
        <v>257376</v>
      </c>
      <c r="C36" s="32">
        <f>+Income2!A84</f>
        <v>295599</v>
      </c>
      <c r="D36" s="84" t="s">
        <v>13</v>
      </c>
      <c r="E36" s="32"/>
      <c r="F36" s="32">
        <f>+Income2!P84</f>
        <v>45798</v>
      </c>
      <c r="G36" s="33">
        <f>+Income2!R84</f>
        <v>21448</v>
      </c>
      <c r="H36" s="32">
        <f aca="true" t="shared" si="3" ref="H36:H42">SUM(G36-F36)</f>
        <v>-24350</v>
      </c>
      <c r="I36" s="33"/>
      <c r="J36" s="32">
        <f>+Income2!Q84</f>
        <v>24633.25</v>
      </c>
      <c r="K36" s="33">
        <v>21448</v>
      </c>
      <c r="L36" s="33">
        <f t="shared" si="1"/>
        <v>-3185.25</v>
      </c>
    </row>
    <row r="37" spans="1:12" ht="19.5" customHeight="1">
      <c r="A37" s="32">
        <f t="shared" si="0"/>
        <v>-27333</v>
      </c>
      <c r="B37" s="32">
        <f t="shared" si="2"/>
        <v>99336</v>
      </c>
      <c r="C37" s="32">
        <f>+Income2!A85</f>
        <v>126669</v>
      </c>
      <c r="D37" s="84" t="s">
        <v>14</v>
      </c>
      <c r="E37" s="32"/>
      <c r="F37" s="32">
        <f>+Income2!P85</f>
        <v>68920</v>
      </c>
      <c r="G37" s="33">
        <f>+Income2!R85</f>
        <v>8278</v>
      </c>
      <c r="H37" s="32">
        <f t="shared" si="3"/>
        <v>-60642</v>
      </c>
      <c r="I37" s="33"/>
      <c r="J37" s="32">
        <f>+Income2!Q85</f>
        <v>10555.75</v>
      </c>
      <c r="K37" s="33">
        <v>8278</v>
      </c>
      <c r="L37" s="33">
        <f t="shared" si="1"/>
        <v>-2277.75</v>
      </c>
    </row>
    <row r="38" spans="1:12" ht="19.5" customHeight="1">
      <c r="A38" s="32">
        <f t="shared" si="0"/>
        <v>38170</v>
      </c>
      <c r="B38" s="32">
        <f t="shared" si="2"/>
        <v>186132</v>
      </c>
      <c r="C38" s="32">
        <f>+Income2!A86</f>
        <v>147962</v>
      </c>
      <c r="D38" s="84" t="s">
        <v>15</v>
      </c>
      <c r="E38" s="32"/>
      <c r="F38" s="32">
        <f>+Income2!P86</f>
        <v>47971</v>
      </c>
      <c r="G38" s="33">
        <f>+Income2!R86</f>
        <v>15511</v>
      </c>
      <c r="H38" s="32">
        <f t="shared" si="3"/>
        <v>-32460</v>
      </c>
      <c r="I38" s="33"/>
      <c r="J38" s="32">
        <f>+Income2!Q86</f>
        <v>12330.166666666666</v>
      </c>
      <c r="K38" s="33">
        <v>15511</v>
      </c>
      <c r="L38" s="33">
        <f t="shared" si="1"/>
        <v>3180.833333333334</v>
      </c>
    </row>
    <row r="39" spans="1:12" ht="19.5" customHeight="1">
      <c r="A39" s="32">
        <f t="shared" si="0"/>
        <v>10050</v>
      </c>
      <c r="B39" s="32">
        <f t="shared" si="2"/>
        <v>288864</v>
      </c>
      <c r="C39" s="32">
        <f>+Income2!A87</f>
        <v>278814</v>
      </c>
      <c r="D39" s="84" t="s">
        <v>16</v>
      </c>
      <c r="E39" s="32"/>
      <c r="F39" s="32">
        <f>+Income2!P87</f>
        <v>87299</v>
      </c>
      <c r="G39" s="33">
        <f>+Income2!R87</f>
        <v>24072</v>
      </c>
      <c r="H39" s="32">
        <f t="shared" si="3"/>
        <v>-63227</v>
      </c>
      <c r="I39" s="33"/>
      <c r="J39" s="32">
        <f>+Income2!Q87</f>
        <v>23234.5</v>
      </c>
      <c r="K39" s="33">
        <v>24072</v>
      </c>
      <c r="L39" s="33">
        <f t="shared" si="1"/>
        <v>837.5</v>
      </c>
    </row>
    <row r="40" spans="1:12" ht="19.5" customHeight="1">
      <c r="A40" s="32">
        <f t="shared" si="0"/>
        <v>-50</v>
      </c>
      <c r="B40" s="32">
        <f t="shared" si="2"/>
        <v>354348</v>
      </c>
      <c r="C40" s="32">
        <f>+Income2!A88</f>
        <v>354398</v>
      </c>
      <c r="D40" s="84" t="s">
        <v>17</v>
      </c>
      <c r="E40" s="32"/>
      <c r="F40" s="32">
        <f>+Income2!P88</f>
        <v>59414</v>
      </c>
      <c r="G40" s="33">
        <f>+Income2!R88</f>
        <v>29529</v>
      </c>
      <c r="H40" s="32">
        <f t="shared" si="3"/>
        <v>-29885</v>
      </c>
      <c r="I40" s="33"/>
      <c r="J40" s="32">
        <f>+Income2!Q88</f>
        <v>29533.166666666668</v>
      </c>
      <c r="K40" s="33">
        <v>29529</v>
      </c>
      <c r="L40" s="33">
        <f t="shared" si="1"/>
        <v>-4.166666666667879</v>
      </c>
    </row>
    <row r="41" spans="1:12" ht="19.5" customHeight="1">
      <c r="A41" s="32">
        <f t="shared" si="0"/>
        <v>1</v>
      </c>
      <c r="B41" s="32">
        <f t="shared" si="2"/>
        <v>815928</v>
      </c>
      <c r="C41" s="32">
        <f>+Income2!A89</f>
        <v>815927</v>
      </c>
      <c r="D41" s="84" t="s">
        <v>18</v>
      </c>
      <c r="E41" s="32"/>
      <c r="F41" s="32">
        <f>+Income2!P89</f>
        <v>60656</v>
      </c>
      <c r="G41" s="33">
        <f>+Income2!R89</f>
        <v>67994</v>
      </c>
      <c r="H41" s="32">
        <f t="shared" si="3"/>
        <v>7338</v>
      </c>
      <c r="I41" s="33"/>
      <c r="J41" s="32">
        <f>+Income2!Q89</f>
        <v>67993.91666666667</v>
      </c>
      <c r="K41" s="33">
        <v>67994</v>
      </c>
      <c r="L41" s="33">
        <f t="shared" si="1"/>
        <v>0.0833333333284827</v>
      </c>
    </row>
    <row r="42" spans="1:12" ht="19.5" customHeight="1">
      <c r="A42" s="32">
        <f t="shared" si="0"/>
        <v>-22244</v>
      </c>
      <c r="B42" s="32">
        <f t="shared" si="2"/>
        <v>82356</v>
      </c>
      <c r="C42" s="32">
        <f>+Income2!A90</f>
        <v>104600</v>
      </c>
      <c r="D42" s="84" t="s">
        <v>19</v>
      </c>
      <c r="E42" s="39"/>
      <c r="F42" s="32">
        <f>+Income2!P90</f>
        <v>67246</v>
      </c>
      <c r="G42" s="33">
        <f>+Income2!R90</f>
        <v>6863</v>
      </c>
      <c r="H42" s="32">
        <f t="shared" si="3"/>
        <v>-60383</v>
      </c>
      <c r="I42" s="33"/>
      <c r="J42" s="32">
        <f>+Income2!Q90</f>
        <v>8716.666666666666</v>
      </c>
      <c r="K42" s="36">
        <v>6863</v>
      </c>
      <c r="L42" s="36">
        <f t="shared" si="1"/>
        <v>-1853.666666666666</v>
      </c>
    </row>
    <row r="43" spans="1:12" ht="19.5" customHeight="1" thickBot="1">
      <c r="A43" s="40">
        <f>SUM(A35:A42)</f>
        <v>-97763</v>
      </c>
      <c r="B43" s="40">
        <f>SUM(B35:B42)</f>
        <v>4251826</v>
      </c>
      <c r="C43" s="40">
        <f>SUM(C35:C42)</f>
        <v>4349589</v>
      </c>
      <c r="D43" s="53" t="s">
        <v>20</v>
      </c>
      <c r="E43" s="42"/>
      <c r="F43" s="40">
        <f aca="true" t="shared" si="4" ref="F43:K43">SUM(F35:F42)</f>
        <v>640993</v>
      </c>
      <c r="G43" s="37">
        <f>SUM(G35:G42)</f>
        <v>354318</v>
      </c>
      <c r="H43" s="40">
        <f t="shared" si="4"/>
        <v>-286675</v>
      </c>
      <c r="I43" s="42"/>
      <c r="J43" s="40">
        <f>SUM(J35:J42)</f>
        <v>362465.75000000006</v>
      </c>
      <c r="K43" s="37">
        <f t="shared" si="4"/>
        <v>354319</v>
      </c>
      <c r="L43" s="37">
        <f t="shared" si="1"/>
        <v>-8146.750000000058</v>
      </c>
    </row>
    <row r="44" spans="1:12" ht="19.5" customHeight="1" thickTop="1">
      <c r="A44" s="33"/>
      <c r="B44" s="33"/>
      <c r="C44" s="33"/>
      <c r="D44" s="23"/>
      <c r="E44" s="33"/>
      <c r="F44" s="33"/>
      <c r="G44" s="33"/>
      <c r="H44" s="33"/>
      <c r="I44" s="33"/>
      <c r="J44" s="33"/>
      <c r="K44" s="33"/>
      <c r="L44" s="33"/>
    </row>
    <row r="45" spans="1:12" ht="19.5" customHeight="1">
      <c r="A45" s="47"/>
      <c r="B45" s="47"/>
      <c r="D45" s="159" t="s">
        <v>101</v>
      </c>
      <c r="E45" s="159"/>
      <c r="F45" s="159"/>
      <c r="G45" s="33"/>
      <c r="H45" s="33"/>
      <c r="I45" s="33"/>
      <c r="J45" s="33"/>
      <c r="K45" s="33"/>
      <c r="L45" s="33"/>
    </row>
    <row r="46" spans="1:12" ht="19.5" customHeight="1">
      <c r="A46" s="32">
        <f>SUM(B46-C46)</f>
        <v>47872</v>
      </c>
      <c r="B46" s="33">
        <f>+G46*12</f>
        <v>457356</v>
      </c>
      <c r="C46" s="32">
        <f>+Income2!A95</f>
        <v>409484</v>
      </c>
      <c r="D46" s="84" t="s">
        <v>21</v>
      </c>
      <c r="E46" s="39"/>
      <c r="F46" s="32">
        <f>+Income2!P95</f>
        <v>135270</v>
      </c>
      <c r="G46" s="33">
        <f>+Income2!R95</f>
        <v>38113</v>
      </c>
      <c r="H46" s="32">
        <f>SUM(G46-F46)</f>
        <v>-97157</v>
      </c>
      <c r="I46" s="46"/>
      <c r="J46" s="32">
        <f>+Income2!Q95</f>
        <v>34123.666666666664</v>
      </c>
      <c r="K46" s="33">
        <v>38113</v>
      </c>
      <c r="L46" s="33">
        <f>SUM(K46-J46)</f>
        <v>3989.3333333333358</v>
      </c>
    </row>
    <row r="47" spans="1:12" ht="19.5" customHeight="1">
      <c r="A47" s="32">
        <f>SUM(B47-C47)</f>
        <v>-145635</v>
      </c>
      <c r="B47" s="33">
        <f>+G47*12+10</f>
        <v>2978542</v>
      </c>
      <c r="C47" s="32">
        <f>+Income2!A96</f>
        <v>3124177</v>
      </c>
      <c r="D47" s="84" t="s">
        <v>22</v>
      </c>
      <c r="E47" s="39"/>
      <c r="F47" s="32">
        <f>+Income2!P96</f>
        <v>445067</v>
      </c>
      <c r="G47" s="33">
        <f>+Income2!R96-1</f>
        <v>248211</v>
      </c>
      <c r="H47" s="32">
        <f>SUM(G47-F47)</f>
        <v>-196856</v>
      </c>
      <c r="I47" s="46"/>
      <c r="J47" s="32">
        <f>+Income2!Q96</f>
        <v>260348.08333333334</v>
      </c>
      <c r="K47" s="33">
        <v>248212</v>
      </c>
      <c r="L47" s="33">
        <f>SUM(K47-J47)</f>
        <v>-12136.083333333343</v>
      </c>
    </row>
    <row r="48" spans="1:12" ht="19.5" customHeight="1">
      <c r="A48" s="32">
        <f>SUM(B48-C48)</f>
        <v>0</v>
      </c>
      <c r="B48" s="33">
        <f>+G48*10</f>
        <v>0</v>
      </c>
      <c r="C48" s="32">
        <f>+Income2!A97</f>
        <v>0</v>
      </c>
      <c r="D48" s="84" t="s">
        <v>23</v>
      </c>
      <c r="E48" s="39"/>
      <c r="F48" s="32">
        <f>+Income2!P97</f>
        <v>0</v>
      </c>
      <c r="G48" s="33">
        <f>+Income2!R97</f>
        <v>0</v>
      </c>
      <c r="H48" s="32">
        <f>SUM(G48-F48)</f>
        <v>0</v>
      </c>
      <c r="I48" s="46"/>
      <c r="J48" s="32">
        <f>+Income2!Q97</f>
        <v>0</v>
      </c>
      <c r="K48" s="33">
        <v>0</v>
      </c>
      <c r="L48" s="33">
        <f>SUM(K48-J48)</f>
        <v>0</v>
      </c>
    </row>
    <row r="49" spans="1:12" ht="19.5" customHeight="1">
      <c r="A49" s="32">
        <f>SUM(B49-C49)</f>
        <v>0</v>
      </c>
      <c r="B49" s="33">
        <f>+G49*12</f>
        <v>815928</v>
      </c>
      <c r="C49" s="32">
        <f>+Income2!A98+1</f>
        <v>815928</v>
      </c>
      <c r="D49" s="84" t="s">
        <v>24</v>
      </c>
      <c r="E49" s="39"/>
      <c r="F49" s="32">
        <f>+Income2!P98</f>
        <v>60656</v>
      </c>
      <c r="G49" s="33">
        <f>+Income2!R98</f>
        <v>67994</v>
      </c>
      <c r="H49" s="32">
        <f>SUM(G49-F49)</f>
        <v>7338</v>
      </c>
      <c r="I49" s="46"/>
      <c r="J49" s="32">
        <f>+Income2!Q98</f>
        <v>67993.91666666667</v>
      </c>
      <c r="K49" s="33">
        <v>67994</v>
      </c>
      <c r="L49" s="33">
        <f>SUM(K49-J49)</f>
        <v>0.0833333333284827</v>
      </c>
    </row>
    <row r="50" spans="1:12" s="44" customFormat="1" ht="19.5" customHeight="1" thickBot="1">
      <c r="A50" s="37">
        <f>SUM(A46:A49)</f>
        <v>-97763</v>
      </c>
      <c r="B50" s="40">
        <f>SUM(B46:B49)</f>
        <v>4251826</v>
      </c>
      <c r="C50" s="40">
        <f>SUM(C46:C49)</f>
        <v>4349589</v>
      </c>
      <c r="D50" s="53" t="s">
        <v>25</v>
      </c>
      <c r="E50" s="42"/>
      <c r="F50" s="40">
        <f aca="true" t="shared" si="5" ref="F50:K50">SUM(F46:F49)</f>
        <v>640993</v>
      </c>
      <c r="G50" s="40">
        <f t="shared" si="5"/>
        <v>354318</v>
      </c>
      <c r="H50" s="40">
        <f t="shared" si="5"/>
        <v>-286675</v>
      </c>
      <c r="I50" s="42"/>
      <c r="J50" s="40">
        <f t="shared" si="5"/>
        <v>362465.6666666667</v>
      </c>
      <c r="K50" s="40">
        <f t="shared" si="5"/>
        <v>354319</v>
      </c>
      <c r="L50" s="37">
        <f>SUM(K50-J50)</f>
        <v>-8146.666666666686</v>
      </c>
    </row>
    <row r="51" spans="1:12" ht="19.5" customHeight="1" thickTop="1">
      <c r="A51" s="42"/>
      <c r="B51" s="42"/>
      <c r="C51" s="47"/>
      <c r="D51" s="21"/>
      <c r="E51" s="42"/>
      <c r="F51" s="42"/>
      <c r="G51" s="42"/>
      <c r="H51" s="42"/>
      <c r="I51" s="42"/>
      <c r="J51" s="42"/>
      <c r="K51" s="42"/>
      <c r="L51" s="52"/>
    </row>
    <row r="52" spans="1:12" s="64" customFormat="1" ht="19.5" customHeight="1">
      <c r="A52" s="158" t="s">
        <v>58</v>
      </c>
      <c r="B52" s="158"/>
      <c r="C52" s="158"/>
      <c r="D52" s="83"/>
      <c r="E52" s="78"/>
      <c r="F52" s="158" t="s">
        <v>141</v>
      </c>
      <c r="G52" s="158"/>
      <c r="H52" s="158"/>
      <c r="I52" s="80"/>
      <c r="J52" s="158" t="s">
        <v>37</v>
      </c>
      <c r="K52" s="158"/>
      <c r="L52" s="158"/>
    </row>
    <row r="53" spans="1:12" s="65" customFormat="1" ht="19.5" customHeight="1">
      <c r="A53" s="69" t="s">
        <v>28</v>
      </c>
      <c r="B53" s="69" t="s">
        <v>27</v>
      </c>
      <c r="C53" s="69" t="s">
        <v>3</v>
      </c>
      <c r="D53" s="82"/>
      <c r="E53" s="80" t="s">
        <v>60</v>
      </c>
      <c r="F53" s="69" t="s">
        <v>3</v>
      </c>
      <c r="G53" s="69" t="s">
        <v>27</v>
      </c>
      <c r="H53" s="69" t="s">
        <v>28</v>
      </c>
      <c r="I53" s="69"/>
      <c r="J53" s="69" t="s">
        <v>3</v>
      </c>
      <c r="K53" s="69" t="s">
        <v>27</v>
      </c>
      <c r="L53" s="69" t="s">
        <v>28</v>
      </c>
    </row>
    <row r="54" spans="1:12" ht="19.5" customHeight="1">
      <c r="A54" s="33"/>
      <c r="B54" s="33"/>
      <c r="C54" s="12"/>
      <c r="D54" s="98" t="s">
        <v>56</v>
      </c>
      <c r="E54" s="33"/>
      <c r="F54" s="33"/>
      <c r="G54" s="33"/>
      <c r="H54" s="33"/>
      <c r="I54" s="33"/>
      <c r="J54" s="33"/>
      <c r="K54" s="33"/>
      <c r="L54" s="33"/>
    </row>
    <row r="55" spans="1:12" s="14" customFormat="1" ht="19.5" customHeight="1">
      <c r="A55" s="47"/>
      <c r="B55" s="47"/>
      <c r="C55" s="15"/>
      <c r="D55" s="21" t="s">
        <v>2</v>
      </c>
      <c r="E55" s="27"/>
      <c r="F55" s="29"/>
      <c r="G55" s="29"/>
      <c r="H55" s="29"/>
      <c r="I55" s="29"/>
      <c r="J55" s="25"/>
      <c r="K55" s="30"/>
      <c r="L55" s="28"/>
    </row>
    <row r="56" spans="1:13" ht="19.5" customHeight="1">
      <c r="A56" s="35">
        <f>SUM(C56-B56)</f>
        <v>0</v>
      </c>
      <c r="B56" s="35">
        <f>+C56</f>
        <v>154318</v>
      </c>
      <c r="C56" s="86">
        <f>+Income2!A102</f>
        <v>154318</v>
      </c>
      <c r="D56" s="84" t="s">
        <v>4</v>
      </c>
      <c r="F56" s="36">
        <f>+Income2!O102</f>
        <v>12859</v>
      </c>
      <c r="G56" s="36">
        <f>+F56</f>
        <v>12859</v>
      </c>
      <c r="H56" s="36">
        <f>SUM(G56-F56)</f>
        <v>0</v>
      </c>
      <c r="I56" s="91"/>
      <c r="J56" s="36">
        <v>12860</v>
      </c>
      <c r="K56" s="36">
        <f>+J56</f>
        <v>12860</v>
      </c>
      <c r="L56" s="36">
        <f>SUM(K56-J56)</f>
        <v>0</v>
      </c>
      <c r="M56" s="88"/>
    </row>
    <row r="57" spans="1:12" ht="20.25" customHeight="1">
      <c r="A57" s="92"/>
      <c r="B57" s="92"/>
      <c r="C57" s="87"/>
      <c r="D57" s="31"/>
      <c r="E57" s="38"/>
      <c r="F57" s="46"/>
      <c r="G57" s="46"/>
      <c r="H57" s="46"/>
      <c r="I57" s="46"/>
      <c r="J57" s="46"/>
      <c r="K57" s="46"/>
      <c r="L57" s="46"/>
    </row>
    <row r="58" spans="1:12" ht="19.5" customHeight="1">
      <c r="A58" s="92"/>
      <c r="B58" s="92"/>
      <c r="C58" s="87"/>
      <c r="D58" s="53" t="s">
        <v>5</v>
      </c>
      <c r="F58" s="46"/>
      <c r="G58" s="46"/>
      <c r="H58" s="46"/>
      <c r="I58" s="46"/>
      <c r="J58" s="46"/>
      <c r="K58" s="46"/>
      <c r="L58" s="46"/>
    </row>
    <row r="59" spans="1:12" ht="19.5" customHeight="1">
      <c r="A59" s="35">
        <f>SUM(B59-C59)</f>
        <v>-1638</v>
      </c>
      <c r="B59" s="35">
        <f>+C56</f>
        <v>154318</v>
      </c>
      <c r="C59" s="86">
        <f>+Income2!A103</f>
        <v>155956</v>
      </c>
      <c r="D59" s="84" t="s">
        <v>142</v>
      </c>
      <c r="E59" s="32"/>
      <c r="F59" s="36">
        <f>+Income2!P103</f>
        <v>10751</v>
      </c>
      <c r="G59" s="36">
        <f>+F56</f>
        <v>12859</v>
      </c>
      <c r="H59" s="36">
        <f>SUM(G59-F59)</f>
        <v>2108</v>
      </c>
      <c r="I59" s="46"/>
      <c r="J59" s="36">
        <f>+Income2!Q103</f>
        <v>12996.333333333334</v>
      </c>
      <c r="K59" s="36">
        <f>+J56</f>
        <v>12860</v>
      </c>
      <c r="L59" s="36">
        <f>SUM(K59-J59)</f>
        <v>-136.33333333333394</v>
      </c>
    </row>
    <row r="60" spans="1:12" ht="19.5" customHeight="1" thickBot="1">
      <c r="A60" s="100">
        <f>+A59+A56</f>
        <v>-1638</v>
      </c>
      <c r="B60" s="100">
        <f>SUM(B56-B59)</f>
        <v>0</v>
      </c>
      <c r="C60" s="100">
        <f>SUM(C56-C59)</f>
        <v>-1638</v>
      </c>
      <c r="D60" s="31"/>
      <c r="E60" s="42"/>
      <c r="F60" s="100">
        <f aca="true" t="shared" si="6" ref="F60:K60">SUM(F56-F59)</f>
        <v>2108</v>
      </c>
      <c r="G60" s="100">
        <f t="shared" si="6"/>
        <v>0</v>
      </c>
      <c r="H60" s="100">
        <f>SUM(H59-H56)</f>
        <v>2108</v>
      </c>
      <c r="I60" s="42"/>
      <c r="J60" s="100">
        <f t="shared" si="6"/>
        <v>-136.33333333333394</v>
      </c>
      <c r="K60" s="100">
        <f t="shared" si="6"/>
        <v>0</v>
      </c>
      <c r="L60" s="100">
        <f>SUM(L59-L56)</f>
        <v>-136.33333333333394</v>
      </c>
    </row>
    <row r="61" spans="1:12" ht="19.5" customHeight="1" thickTop="1">
      <c r="A61" s="92"/>
      <c r="B61" s="92"/>
      <c r="C61" s="92"/>
      <c r="D61" s="31"/>
      <c r="E61" s="42"/>
      <c r="F61" s="92"/>
      <c r="G61" s="92"/>
      <c r="H61" s="92"/>
      <c r="I61" s="42"/>
      <c r="J61" s="92"/>
      <c r="K61" s="92"/>
      <c r="L61" s="92"/>
    </row>
    <row r="62" spans="1:12" ht="19.5" customHeight="1">
      <c r="A62" s="30" t="s">
        <v>1</v>
      </c>
      <c r="B62" s="49" t="s">
        <v>143</v>
      </c>
      <c r="C62" s="33"/>
      <c r="D62" s="23"/>
      <c r="E62" s="33"/>
      <c r="F62" s="33"/>
      <c r="G62" s="33"/>
      <c r="H62" s="33"/>
      <c r="I62" s="33"/>
      <c r="J62" s="33"/>
      <c r="K62" s="33"/>
      <c r="L62" s="33"/>
    </row>
    <row r="63" spans="1:12" ht="19.5" customHeight="1">
      <c r="A63" s="49"/>
      <c r="B63" s="12"/>
      <c r="C63" s="33"/>
      <c r="D63" s="23"/>
      <c r="E63" s="33"/>
      <c r="F63" s="33"/>
      <c r="G63" s="33"/>
      <c r="H63" s="33"/>
      <c r="I63" s="33"/>
      <c r="J63" s="33"/>
      <c r="K63" s="33"/>
      <c r="L63" s="33"/>
    </row>
    <row r="64" spans="1:12" ht="19.5" customHeight="1">
      <c r="A64" s="49"/>
      <c r="B64" s="49"/>
      <c r="C64" s="33"/>
      <c r="D64" s="23"/>
      <c r="E64" s="33"/>
      <c r="F64" s="33"/>
      <c r="G64" s="33"/>
      <c r="H64" s="33"/>
      <c r="I64" s="33"/>
      <c r="J64" s="33"/>
      <c r="K64" s="33"/>
      <c r="L64" s="33"/>
    </row>
    <row r="65" spans="1:2" ht="19.5" customHeight="1">
      <c r="A65" s="17"/>
      <c r="B65" s="17"/>
    </row>
    <row r="66" spans="1:2" ht="19.5" customHeight="1">
      <c r="A66" s="50"/>
      <c r="B66" s="50"/>
    </row>
    <row r="67" spans="1:2" ht="19.5" customHeight="1">
      <c r="A67" s="50"/>
      <c r="B67" s="50"/>
    </row>
    <row r="68" spans="1:2" ht="19.5" customHeight="1">
      <c r="A68" s="50"/>
      <c r="B68" s="50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mergeCells count="11">
    <mergeCell ref="D34:E34"/>
    <mergeCell ref="J3:L3"/>
    <mergeCell ref="J31:L31"/>
    <mergeCell ref="A31:C31"/>
    <mergeCell ref="A3:C3"/>
    <mergeCell ref="F3:H3"/>
    <mergeCell ref="F31:H31"/>
    <mergeCell ref="A52:C52"/>
    <mergeCell ref="F52:H52"/>
    <mergeCell ref="J52:L52"/>
    <mergeCell ref="D45:F45"/>
  </mergeCells>
  <printOptions/>
  <pageMargins left="0.23" right="0.16" top="0.84" bottom="0.5" header="0.11" footer="0.5"/>
  <pageSetup horizontalDpi="300" verticalDpi="300" orientation="landscape" paperSize="9" scale="95" r:id="rId1"/>
  <headerFooter alignWithMargins="0">
    <oddHeader>&amp;C&amp;"Tahoma,Bold Italic"&amp;16&amp;EDEPARTMENT OF JUSTICE AND CONSTITUTIONAL DEVELOPMENT&amp;"Arial,Regular"&amp;10&amp;E
&amp;"Tahoma,Italic"&amp;16Preliminary Accounts for the period ending 31 March 2003 - R '000&amp;"Arial,Regular"&amp;10
</oddHeader>
    <oddFooter>&amp;CPage &amp;P of &amp;N</oddFooter>
  </headerFooter>
  <rowBreaks count="2" manualBreakCount="2">
    <brk id="29" max="11" man="1"/>
    <brk id="5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61"/>
  <sheetViews>
    <sheetView tabSelected="1" view="pageBreakPreview" zoomScale="75" zoomScaleNormal="75" zoomScaleSheetLayoutView="75" workbookViewId="0" topLeftCell="A13">
      <selection activeCell="R50" sqref="R50"/>
    </sheetView>
  </sheetViews>
  <sheetFormatPr defaultColWidth="9.140625" defaultRowHeight="12.75"/>
  <cols>
    <col min="1" max="1" width="12.00390625" style="15" customWidth="1"/>
    <col min="2" max="2" width="1.28515625" style="15" customWidth="1"/>
    <col min="3" max="3" width="1.1484375" style="14" customWidth="1"/>
    <col min="4" max="4" width="29.00390625" style="14" customWidth="1"/>
    <col min="5" max="5" width="9.421875" style="15" hidden="1" customWidth="1"/>
    <col min="6" max="6" width="11.57421875" style="15" hidden="1" customWidth="1"/>
    <col min="7" max="10" width="10.8515625" style="15" hidden="1" customWidth="1"/>
    <col min="11" max="15" width="10.8515625" style="15" customWidth="1"/>
    <col min="16" max="17" width="11.8515625" style="15" customWidth="1"/>
    <col min="18" max="18" width="10.421875" style="15" customWidth="1"/>
    <col min="19" max="19" width="11.00390625" style="15" customWidth="1"/>
    <col min="20" max="20" width="9.140625" style="12" customWidth="1"/>
    <col min="21" max="21" width="28.421875" style="12" customWidth="1"/>
    <col min="22" max="16384" width="9.140625" style="12" customWidth="1"/>
  </cols>
  <sheetData>
    <row r="1" spans="1:3" ht="19.5" customHeight="1">
      <c r="A1" s="16" t="s">
        <v>71</v>
      </c>
      <c r="B1" s="16"/>
      <c r="C1" s="13"/>
    </row>
    <row r="2" spans="1:3" ht="19.5" customHeight="1">
      <c r="A2" s="17"/>
      <c r="B2" s="17"/>
      <c r="C2" s="101"/>
    </row>
    <row r="3" spans="1:19" s="14" customFormat="1" ht="19.5" customHeight="1">
      <c r="A3" s="24" t="s">
        <v>25</v>
      </c>
      <c r="B3" s="24"/>
      <c r="C3" s="22"/>
      <c r="D3" s="23"/>
      <c r="E3" s="69" t="s">
        <v>3</v>
      </c>
      <c r="F3" s="69" t="s">
        <v>3</v>
      </c>
      <c r="G3" s="69" t="s">
        <v>3</v>
      </c>
      <c r="H3" s="69" t="s">
        <v>3</v>
      </c>
      <c r="I3" s="69" t="s">
        <v>3</v>
      </c>
      <c r="J3" s="69" t="s">
        <v>3</v>
      </c>
      <c r="K3" s="69" t="s">
        <v>3</v>
      </c>
      <c r="L3" s="69" t="s">
        <v>3</v>
      </c>
      <c r="M3" s="69" t="s">
        <v>3</v>
      </c>
      <c r="N3" s="69" t="s">
        <v>3</v>
      </c>
      <c r="O3" s="69" t="s">
        <v>3</v>
      </c>
      <c r="P3" s="69" t="s">
        <v>3</v>
      </c>
      <c r="Q3" s="69" t="s">
        <v>39</v>
      </c>
      <c r="R3" s="25" t="s">
        <v>37</v>
      </c>
      <c r="S3" s="25" t="s">
        <v>28</v>
      </c>
    </row>
    <row r="4" spans="1:19" s="14" customFormat="1" ht="19.5" customHeight="1">
      <c r="A4" s="24" t="s">
        <v>63</v>
      </c>
      <c r="B4" s="24"/>
      <c r="C4" s="22"/>
      <c r="D4" s="26"/>
      <c r="E4" s="76" t="s">
        <v>76</v>
      </c>
      <c r="F4" s="76" t="s">
        <v>77</v>
      </c>
      <c r="G4" s="76" t="s">
        <v>78</v>
      </c>
      <c r="H4" s="76" t="s">
        <v>79</v>
      </c>
      <c r="I4" s="76" t="s">
        <v>80</v>
      </c>
      <c r="J4" s="76" t="s">
        <v>81</v>
      </c>
      <c r="K4" s="76" t="s">
        <v>82</v>
      </c>
      <c r="L4" s="76" t="s">
        <v>83</v>
      </c>
      <c r="M4" s="76" t="s">
        <v>84</v>
      </c>
      <c r="N4" s="76" t="s">
        <v>85</v>
      </c>
      <c r="O4" s="76" t="s">
        <v>86</v>
      </c>
      <c r="P4" s="76" t="s">
        <v>140</v>
      </c>
      <c r="Q4" s="69" t="s">
        <v>36</v>
      </c>
      <c r="R4" s="25" t="s">
        <v>26</v>
      </c>
      <c r="S4" s="28"/>
    </row>
    <row r="5" spans="1:19" s="14" customFormat="1" ht="19.5" customHeight="1">
      <c r="A5" s="24" t="s">
        <v>3</v>
      </c>
      <c r="B5" s="24"/>
      <c r="C5" s="22"/>
      <c r="D5" s="26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69" t="s">
        <v>29</v>
      </c>
      <c r="R5" s="25" t="s">
        <v>27</v>
      </c>
      <c r="S5" s="28"/>
    </row>
    <row r="6" spans="1:19" s="14" customFormat="1" ht="19.5" customHeight="1">
      <c r="A6" s="47"/>
      <c r="B6" s="47"/>
      <c r="C6" s="22"/>
      <c r="D6" s="22" t="s">
        <v>2</v>
      </c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5"/>
      <c r="R6" s="30"/>
      <c r="S6" s="28"/>
    </row>
    <row r="7" spans="1:19" ht="19.5" customHeight="1">
      <c r="A7" s="55">
        <f>SUM(E7:P7)</f>
        <v>4251826</v>
      </c>
      <c r="B7" s="68"/>
      <c r="C7" s="102"/>
      <c r="D7" s="26" t="s">
        <v>4</v>
      </c>
      <c r="E7" s="35">
        <v>354319</v>
      </c>
      <c r="F7" s="35">
        <v>354319</v>
      </c>
      <c r="G7" s="35">
        <v>354319</v>
      </c>
      <c r="H7" s="35">
        <v>354319</v>
      </c>
      <c r="I7" s="35">
        <v>354319</v>
      </c>
      <c r="J7" s="35">
        <v>354319</v>
      </c>
      <c r="K7" s="35">
        <v>354319</v>
      </c>
      <c r="L7" s="35">
        <v>354319</v>
      </c>
      <c r="M7" s="35">
        <v>354319</v>
      </c>
      <c r="N7" s="35">
        <v>354319</v>
      </c>
      <c r="O7" s="35">
        <v>354318</v>
      </c>
      <c r="P7" s="35">
        <v>354318</v>
      </c>
      <c r="Q7" s="35">
        <v>354319</v>
      </c>
      <c r="R7" s="36">
        <v>354319</v>
      </c>
      <c r="S7" s="36">
        <f>SUM(R7-Q7)</f>
        <v>0</v>
      </c>
    </row>
    <row r="8" spans="1:19" ht="19.5" customHeight="1">
      <c r="A8" s="38"/>
      <c r="B8" s="38"/>
      <c r="C8" s="103"/>
      <c r="D8" s="26"/>
      <c r="E8" s="38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9.5" customHeight="1">
      <c r="A9" s="38"/>
      <c r="B9" s="38"/>
      <c r="C9" s="26"/>
      <c r="D9" s="22" t="s">
        <v>5</v>
      </c>
      <c r="E9" s="38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9.5" customHeight="1">
      <c r="A10" s="55">
        <f>SUM(E10:P10)+1</f>
        <v>4349589</v>
      </c>
      <c r="B10" s="32"/>
      <c r="C10" s="102"/>
      <c r="D10" s="26" t="s">
        <v>6</v>
      </c>
      <c r="E10" s="35">
        <f>279043+300</f>
        <v>279343</v>
      </c>
      <c r="F10" s="36">
        <v>288575</v>
      </c>
      <c r="G10" s="36">
        <v>340825</v>
      </c>
      <c r="H10" s="36">
        <v>314846</v>
      </c>
      <c r="I10" s="36">
        <v>284922</v>
      </c>
      <c r="J10" s="36">
        <v>369522</v>
      </c>
      <c r="K10" s="36">
        <v>334097</v>
      </c>
      <c r="L10" s="36">
        <v>322741</v>
      </c>
      <c r="M10" s="36">
        <v>377780</v>
      </c>
      <c r="N10" s="36">
        <v>388742</v>
      </c>
      <c r="O10" s="36">
        <v>407202</v>
      </c>
      <c r="P10" s="36">
        <v>640993</v>
      </c>
      <c r="Q10" s="55">
        <f>+A10/12</f>
        <v>362465.75</v>
      </c>
      <c r="R10" s="36">
        <v>354319</v>
      </c>
      <c r="S10" s="36">
        <f>SUM(R10-Q10)</f>
        <v>-8146.75</v>
      </c>
    </row>
    <row r="11" spans="1:19" ht="19.5" customHeight="1">
      <c r="A11" s="42"/>
      <c r="B11" s="42"/>
      <c r="C11" s="18"/>
      <c r="D11" s="2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52"/>
    </row>
    <row r="12" spans="1:19" ht="19.5" customHeight="1" thickBot="1">
      <c r="A12" s="19">
        <f>+A7-A10</f>
        <v>-97763</v>
      </c>
      <c r="B12" s="42"/>
      <c r="C12" s="18"/>
      <c r="D12" s="41" t="s">
        <v>64</v>
      </c>
      <c r="E12" s="19">
        <f>+E7-E10</f>
        <v>74976</v>
      </c>
      <c r="F12" s="19">
        <f aca="true" t="shared" si="0" ref="F12:Q12">+F7-F10</f>
        <v>65744</v>
      </c>
      <c r="G12" s="19">
        <f t="shared" si="0"/>
        <v>13494</v>
      </c>
      <c r="H12" s="19">
        <f t="shared" si="0"/>
        <v>39473</v>
      </c>
      <c r="I12" s="19">
        <f t="shared" si="0"/>
        <v>69397</v>
      </c>
      <c r="J12" s="19">
        <f t="shared" si="0"/>
        <v>-15203</v>
      </c>
      <c r="K12" s="19">
        <f t="shared" si="0"/>
        <v>20222</v>
      </c>
      <c r="L12" s="19">
        <f t="shared" si="0"/>
        <v>31578</v>
      </c>
      <c r="M12" s="19">
        <f t="shared" si="0"/>
        <v>-23461</v>
      </c>
      <c r="N12" s="19">
        <f t="shared" si="0"/>
        <v>-34423</v>
      </c>
      <c r="O12" s="19">
        <f t="shared" si="0"/>
        <v>-52884</v>
      </c>
      <c r="P12" s="19">
        <f t="shared" si="0"/>
        <v>-286675</v>
      </c>
      <c r="Q12" s="19">
        <f t="shared" si="0"/>
        <v>-8146.75</v>
      </c>
      <c r="R12" s="51"/>
      <c r="S12" s="52"/>
    </row>
    <row r="13" spans="1:19" ht="19.5" customHeight="1" thickTop="1">
      <c r="A13" s="38"/>
      <c r="B13" s="38"/>
      <c r="C13" s="26"/>
      <c r="D13" s="26"/>
      <c r="E13" s="24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46"/>
      <c r="S13" s="46"/>
    </row>
    <row r="14" spans="1:19" ht="22.5" customHeight="1">
      <c r="A14" s="38"/>
      <c r="B14" s="38"/>
      <c r="C14" s="26"/>
      <c r="D14" s="159" t="s">
        <v>8</v>
      </c>
      <c r="E14" s="159"/>
      <c r="F14" s="159"/>
      <c r="G14" s="159"/>
      <c r="H14" s="159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9.5" customHeight="1">
      <c r="A15" s="68">
        <v>466489</v>
      </c>
      <c r="B15" s="32"/>
      <c r="C15" s="102"/>
      <c r="D15" s="26" t="s">
        <v>9</v>
      </c>
      <c r="E15" s="32">
        <v>32350</v>
      </c>
      <c r="F15" s="33">
        <v>28625</v>
      </c>
      <c r="G15" s="33">
        <v>30579</v>
      </c>
      <c r="H15" s="33">
        <v>35310</v>
      </c>
      <c r="I15" s="33">
        <f>3723+24116</f>
        <v>27839</v>
      </c>
      <c r="J15" s="33">
        <f>5030+33343</f>
        <v>38373</v>
      </c>
      <c r="K15" s="33">
        <v>34573</v>
      </c>
      <c r="L15" s="33">
        <v>36288</v>
      </c>
      <c r="M15" s="33">
        <f>698+38879</f>
        <v>39577</v>
      </c>
      <c r="N15" s="33">
        <v>44776</v>
      </c>
      <c r="O15" s="33">
        <v>51410</v>
      </c>
      <c r="P15" s="33">
        <v>54546</v>
      </c>
      <c r="Q15" s="32">
        <f>+A15/12</f>
        <v>38874.083333333336</v>
      </c>
      <c r="R15" s="33">
        <v>31161</v>
      </c>
      <c r="S15" s="33">
        <f aca="true" t="shared" si="1" ref="S15:S23">SUM(R15-Q15)</f>
        <v>-7713.083333333336</v>
      </c>
    </row>
    <row r="16" spans="1:19" ht="19.5" customHeight="1">
      <c r="A16" s="68"/>
      <c r="B16" s="45"/>
      <c r="C16" s="44"/>
      <c r="D16" s="26" t="s">
        <v>31</v>
      </c>
      <c r="E16" s="45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2"/>
      <c r="R16" s="33"/>
      <c r="S16" s="33"/>
    </row>
    <row r="17" spans="1:19" ht="19.5" customHeight="1">
      <c r="A17" s="68">
        <v>1547178</v>
      </c>
      <c r="B17" s="32"/>
      <c r="C17" s="102"/>
      <c r="D17" s="26" t="s">
        <v>32</v>
      </c>
      <c r="E17" s="32">
        <f>141320+300</f>
        <v>141620</v>
      </c>
      <c r="F17" s="33">
        <v>112008</v>
      </c>
      <c r="G17" s="33">
        <v>116445</v>
      </c>
      <c r="H17" s="33">
        <v>125467</v>
      </c>
      <c r="I17" s="33">
        <f>116631+315</f>
        <v>116946</v>
      </c>
      <c r="J17" s="33">
        <f>112394+5839</f>
        <v>118233</v>
      </c>
      <c r="K17" s="33">
        <v>102586</v>
      </c>
      <c r="L17" s="33">
        <f>125829-15</f>
        <v>125814</v>
      </c>
      <c r="M17" s="33">
        <f>138697+1307</f>
        <v>140004</v>
      </c>
      <c r="N17" s="33">
        <f>126087+609</f>
        <v>126696</v>
      </c>
      <c r="O17" s="33">
        <v>126400</v>
      </c>
      <c r="P17" s="33">
        <v>174745</v>
      </c>
      <c r="Q17" s="32">
        <f>+A17/12</f>
        <v>128931.5</v>
      </c>
      <c r="R17" s="33">
        <v>147792</v>
      </c>
      <c r="S17" s="33">
        <f t="shared" si="1"/>
        <v>18860.5</v>
      </c>
    </row>
    <row r="18" spans="1:19" ht="19.5" customHeight="1">
      <c r="A18" s="68">
        <v>168844</v>
      </c>
      <c r="B18" s="32"/>
      <c r="C18" s="102"/>
      <c r="D18" s="26" t="s">
        <v>65</v>
      </c>
      <c r="E18" s="32">
        <v>13211</v>
      </c>
      <c r="F18" s="33">
        <v>12059</v>
      </c>
      <c r="G18" s="33">
        <v>11275</v>
      </c>
      <c r="H18" s="33">
        <v>13259</v>
      </c>
      <c r="I18" s="33">
        <f>12857+35</f>
        <v>12892</v>
      </c>
      <c r="J18" s="33">
        <f>14043+551</f>
        <v>14594</v>
      </c>
      <c r="K18" s="33">
        <v>13016</v>
      </c>
      <c r="L18" s="33">
        <v>12318</v>
      </c>
      <c r="M18" s="33">
        <f>11781+75</f>
        <v>11856</v>
      </c>
      <c r="N18" s="33">
        <v>12001</v>
      </c>
      <c r="O18" s="33">
        <v>24203</v>
      </c>
      <c r="P18" s="33">
        <v>18161</v>
      </c>
      <c r="Q18" s="32">
        <f>+A18/12</f>
        <v>14070.333333333334</v>
      </c>
      <c r="R18" s="33">
        <v>16310</v>
      </c>
      <c r="S18" s="33">
        <f t="shared" si="1"/>
        <v>2239.666666666666</v>
      </c>
    </row>
    <row r="19" spans="1:19" ht="19.5" customHeight="1">
      <c r="A19" s="68"/>
      <c r="B19" s="45"/>
      <c r="C19" s="44"/>
      <c r="D19" s="26" t="s">
        <v>62</v>
      </c>
      <c r="E19" s="45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2"/>
      <c r="R19" s="33"/>
      <c r="S19" s="33"/>
    </row>
    <row r="20" spans="1:19" ht="19.5" customHeight="1">
      <c r="A20" s="68">
        <v>927696</v>
      </c>
      <c r="B20" s="32"/>
      <c r="C20" s="102"/>
      <c r="D20" s="26" t="s">
        <v>66</v>
      </c>
      <c r="E20" s="32">
        <v>2710</v>
      </c>
      <c r="F20" s="33">
        <v>59591</v>
      </c>
      <c r="G20" s="33">
        <v>1593</v>
      </c>
      <c r="H20" s="33">
        <v>119336</v>
      </c>
      <c r="I20" s="33">
        <v>57032</v>
      </c>
      <c r="J20" s="33">
        <v>66667</v>
      </c>
      <c r="K20" s="33">
        <v>62409</v>
      </c>
      <c r="L20" s="33">
        <v>72646</v>
      </c>
      <c r="M20" s="33">
        <v>115748</v>
      </c>
      <c r="N20" s="33">
        <v>69380</v>
      </c>
      <c r="O20" s="33">
        <v>79174</v>
      </c>
      <c r="P20" s="33">
        <v>221408</v>
      </c>
      <c r="Q20" s="32">
        <f>+A20/12</f>
        <v>77308</v>
      </c>
      <c r="R20" s="33">
        <v>79047</v>
      </c>
      <c r="S20" s="33">
        <f t="shared" si="1"/>
        <v>1739</v>
      </c>
    </row>
    <row r="21" spans="1:19" ht="19.5" customHeight="1">
      <c r="A21" s="68"/>
      <c r="B21" s="45"/>
      <c r="C21" s="44"/>
      <c r="D21" s="26" t="s">
        <v>33</v>
      </c>
      <c r="E21" s="45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2"/>
      <c r="R21" s="33"/>
      <c r="S21" s="33"/>
    </row>
    <row r="22" spans="1:19" ht="19.5" customHeight="1">
      <c r="A22" s="68">
        <v>1223892</v>
      </c>
      <c r="B22" s="32"/>
      <c r="C22" s="102"/>
      <c r="D22" s="26" t="s">
        <v>35</v>
      </c>
      <c r="E22" s="32">
        <v>88765</v>
      </c>
      <c r="F22" s="33">
        <v>75718</v>
      </c>
      <c r="G22" s="33">
        <v>178906</v>
      </c>
      <c r="H22" s="33">
        <v>21747</v>
      </c>
      <c r="I22" s="33">
        <f>69704-89+1</f>
        <v>69616</v>
      </c>
      <c r="J22" s="33">
        <f>132424+4</f>
        <v>132428</v>
      </c>
      <c r="K22" s="33">
        <v>121489</v>
      </c>
      <c r="L22" s="33">
        <v>72409</v>
      </c>
      <c r="M22" s="33">
        <f>334+67375</f>
        <v>67709</v>
      </c>
      <c r="N22" s="33">
        <v>137816</v>
      </c>
      <c r="O22" s="33">
        <v>127152</v>
      </c>
      <c r="P22" s="33">
        <v>162594</v>
      </c>
      <c r="Q22" s="32">
        <f>+A22/12</f>
        <v>101991</v>
      </c>
      <c r="R22" s="33">
        <v>80009</v>
      </c>
      <c r="S22" s="33">
        <f t="shared" si="1"/>
        <v>-21982</v>
      </c>
    </row>
    <row r="23" spans="1:19" ht="19.5" customHeight="1">
      <c r="A23" s="68">
        <f>SUM(E23:P23)</f>
        <v>15490</v>
      </c>
      <c r="B23" s="32"/>
      <c r="C23" s="102"/>
      <c r="D23" s="26" t="s">
        <v>10</v>
      </c>
      <c r="E23" s="32">
        <v>687</v>
      </c>
      <c r="F23" s="33">
        <v>574</v>
      </c>
      <c r="G23" s="33">
        <v>2027</v>
      </c>
      <c r="H23" s="33">
        <v>-273</v>
      </c>
      <c r="I23" s="33">
        <v>543</v>
      </c>
      <c r="J23" s="33">
        <v>-884</v>
      </c>
      <c r="K23" s="33">
        <v>24</v>
      </c>
      <c r="L23" s="33">
        <v>3251</v>
      </c>
      <c r="M23" s="33">
        <v>2879</v>
      </c>
      <c r="N23" s="33">
        <v>-1927</v>
      </c>
      <c r="O23" s="33">
        <v>-1137</v>
      </c>
      <c r="P23" s="33">
        <v>9726</v>
      </c>
      <c r="Q23" s="32">
        <f>+A23/12</f>
        <v>1290.8333333333333</v>
      </c>
      <c r="R23" s="33">
        <v>0</v>
      </c>
      <c r="S23" s="33">
        <f t="shared" si="1"/>
        <v>-1290.8333333333333</v>
      </c>
    </row>
    <row r="24" spans="1:19" ht="19.5" customHeight="1">
      <c r="A24" s="68">
        <f>SUM(E24:P24)</f>
        <v>0</v>
      </c>
      <c r="B24" s="32"/>
      <c r="C24" s="102"/>
      <c r="D24" s="26" t="s">
        <v>124</v>
      </c>
      <c r="E24" s="32">
        <v>0</v>
      </c>
      <c r="F24" s="33">
        <v>0</v>
      </c>
      <c r="G24" s="33">
        <v>0</v>
      </c>
      <c r="H24" s="33">
        <v>0</v>
      </c>
      <c r="I24" s="33">
        <v>54</v>
      </c>
      <c r="J24" s="33">
        <v>111</v>
      </c>
      <c r="K24" s="33">
        <v>0</v>
      </c>
      <c r="L24" s="33">
        <v>15</v>
      </c>
      <c r="M24" s="33">
        <v>7</v>
      </c>
      <c r="N24" s="33">
        <v>0</v>
      </c>
      <c r="O24" s="33">
        <v>0</v>
      </c>
      <c r="P24" s="33">
        <v>-187</v>
      </c>
      <c r="Q24" s="32">
        <v>16</v>
      </c>
      <c r="R24" s="33">
        <v>0</v>
      </c>
      <c r="S24" s="33">
        <f>SUM(R24-Q24)</f>
        <v>-16</v>
      </c>
    </row>
    <row r="25" spans="1:19" ht="19.5" customHeight="1" thickBot="1">
      <c r="A25" s="40">
        <f>SUM(A15:A24)</f>
        <v>4349589</v>
      </c>
      <c r="B25" s="42"/>
      <c r="C25" s="18"/>
      <c r="D25" s="26"/>
      <c r="E25" s="40">
        <f>SUM(E15:E24)</f>
        <v>279343</v>
      </c>
      <c r="F25" s="40">
        <f aca="true" t="shared" si="2" ref="F25:S25">SUM(F15:F24)</f>
        <v>288575</v>
      </c>
      <c r="G25" s="40">
        <f t="shared" si="2"/>
        <v>340825</v>
      </c>
      <c r="H25" s="40">
        <f t="shared" si="2"/>
        <v>314846</v>
      </c>
      <c r="I25" s="40">
        <f t="shared" si="2"/>
        <v>284922</v>
      </c>
      <c r="J25" s="40">
        <f t="shared" si="2"/>
        <v>369522</v>
      </c>
      <c r="K25" s="40">
        <f t="shared" si="2"/>
        <v>334097</v>
      </c>
      <c r="L25" s="40">
        <f t="shared" si="2"/>
        <v>322741</v>
      </c>
      <c r="M25" s="40">
        <f t="shared" si="2"/>
        <v>377780</v>
      </c>
      <c r="N25" s="40">
        <f t="shared" si="2"/>
        <v>388742</v>
      </c>
      <c r="O25" s="40">
        <f t="shared" si="2"/>
        <v>407202</v>
      </c>
      <c r="P25" s="40">
        <f t="shared" si="2"/>
        <v>640993</v>
      </c>
      <c r="Q25" s="40">
        <f t="shared" si="2"/>
        <v>362481.75</v>
      </c>
      <c r="R25" s="40">
        <f t="shared" si="2"/>
        <v>354319</v>
      </c>
      <c r="S25" s="40">
        <f t="shared" si="2"/>
        <v>-8162.750000000003</v>
      </c>
    </row>
    <row r="26" spans="1:19" ht="19.5" customHeight="1" thickTop="1">
      <c r="A26" s="42"/>
      <c r="B26" s="42"/>
      <c r="C26" s="18"/>
      <c r="D26" s="26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9.5" customHeight="1">
      <c r="A27" s="42"/>
      <c r="B27" s="42"/>
      <c r="C27" s="18"/>
      <c r="D27" s="26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9.5" customHeight="1">
      <c r="A28" s="42"/>
      <c r="B28" s="42"/>
      <c r="C28" s="102"/>
      <c r="D28" s="26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9.5" customHeight="1">
      <c r="A29" s="42"/>
      <c r="B29" s="42"/>
      <c r="C29" s="102"/>
      <c r="D29" s="26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9.5" customHeight="1">
      <c r="A30" s="42"/>
      <c r="B30" s="42"/>
      <c r="C30" s="102"/>
      <c r="D30" s="26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9.5" customHeight="1">
      <c r="A31" s="42"/>
      <c r="B31" s="42"/>
      <c r="C31" s="102"/>
      <c r="D31" s="26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9.5" customHeight="1">
      <c r="A32" s="42"/>
      <c r="B32" s="42"/>
      <c r="C32" s="102"/>
      <c r="D32" s="26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9.5" customHeight="1">
      <c r="A33" s="42"/>
      <c r="B33" s="42"/>
      <c r="C33" s="102"/>
      <c r="D33" s="26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9.5" customHeight="1">
      <c r="A34" s="42"/>
      <c r="B34" s="42"/>
      <c r="C34" s="102"/>
      <c r="D34" s="26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9.5" customHeight="1">
      <c r="A35" s="42"/>
      <c r="B35" s="42"/>
      <c r="C35" s="102"/>
      <c r="D35" s="2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9.5" customHeight="1">
      <c r="A36" s="42"/>
      <c r="B36" s="42"/>
      <c r="C36" s="102"/>
      <c r="D36" s="26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9.5" customHeight="1">
      <c r="A37" s="42"/>
      <c r="B37" s="42"/>
      <c r="C37" s="102"/>
      <c r="D37" s="26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9.5" customHeight="1">
      <c r="A38" s="42"/>
      <c r="B38" s="42"/>
      <c r="C38" s="102"/>
      <c r="D38" s="2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9.5" customHeight="1">
      <c r="A39" s="42"/>
      <c r="B39" s="42"/>
      <c r="C39" s="102"/>
      <c r="D39" s="2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9.5" customHeight="1">
      <c r="A40" s="42"/>
      <c r="B40" s="42"/>
      <c r="C40" s="102"/>
      <c r="D40" s="26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9.5" customHeight="1">
      <c r="A41" s="42"/>
      <c r="B41" s="42"/>
      <c r="C41" s="102"/>
      <c r="D41" s="26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9.5" customHeight="1">
      <c r="A42" s="42"/>
      <c r="B42" s="42"/>
      <c r="C42" s="102"/>
      <c r="D42" s="26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9.5" customHeight="1">
      <c r="A43" s="42"/>
      <c r="B43" s="42"/>
      <c r="C43" s="102"/>
      <c r="D43" s="26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9.5" customHeight="1">
      <c r="A44" s="42"/>
      <c r="B44" s="42"/>
      <c r="C44" s="102"/>
      <c r="D44" s="26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9.5" customHeight="1">
      <c r="A45" s="42"/>
      <c r="B45" s="42"/>
      <c r="C45" s="102"/>
      <c r="D45" s="26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9.5" customHeight="1">
      <c r="A46" s="42"/>
      <c r="B46" s="42"/>
      <c r="C46" s="102"/>
      <c r="D46" s="26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9.5" customHeight="1">
      <c r="A47" s="42"/>
      <c r="B47" s="42"/>
      <c r="C47" s="102"/>
      <c r="D47" s="26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9.5" customHeight="1">
      <c r="A48" s="42"/>
      <c r="B48" s="42"/>
      <c r="C48" s="102"/>
      <c r="D48" s="26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9.5" customHeight="1">
      <c r="A49" s="42"/>
      <c r="B49" s="42"/>
      <c r="C49" s="102"/>
      <c r="D49" s="26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9.5" customHeight="1">
      <c r="A50" s="42"/>
      <c r="B50" s="42"/>
      <c r="C50" s="102"/>
      <c r="D50" s="26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9.5" customHeight="1">
      <c r="A51" s="42"/>
      <c r="B51" s="42"/>
      <c r="C51" s="102"/>
      <c r="D51" s="26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9.5" customHeight="1">
      <c r="A52" s="42"/>
      <c r="B52" s="42"/>
      <c r="C52" s="102"/>
      <c r="D52" s="26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9.5" customHeight="1">
      <c r="A53" s="42"/>
      <c r="B53" s="42"/>
      <c r="C53" s="102"/>
      <c r="D53" s="26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9.5" customHeight="1">
      <c r="A54" s="42"/>
      <c r="B54" s="42"/>
      <c r="C54" s="102"/>
      <c r="D54" s="26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9.5" customHeight="1">
      <c r="A55" s="42"/>
      <c r="B55" s="42"/>
      <c r="C55" s="102"/>
      <c r="D55" s="26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9.5" customHeight="1">
      <c r="A56" s="42"/>
      <c r="B56" s="42"/>
      <c r="C56" s="102"/>
      <c r="D56" s="2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9.5" customHeight="1">
      <c r="A57" s="42"/>
      <c r="B57" s="42"/>
      <c r="C57" s="102"/>
      <c r="D57" s="2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9.5" customHeight="1">
      <c r="A58" s="42"/>
      <c r="B58" s="42"/>
      <c r="C58" s="102"/>
      <c r="D58" s="26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9.5" customHeight="1">
      <c r="A59" s="42"/>
      <c r="B59" s="42"/>
      <c r="C59" s="102"/>
      <c r="D59" s="26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19.5" customHeight="1">
      <c r="A60" s="42"/>
      <c r="B60" s="42"/>
      <c r="C60" s="102"/>
      <c r="D60" s="26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19.5" customHeight="1">
      <c r="A61" s="42"/>
      <c r="B61" s="42"/>
      <c r="C61" s="102"/>
      <c r="D61" s="26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ht="19.5" customHeight="1">
      <c r="A62" s="42"/>
      <c r="B62" s="42"/>
      <c r="C62" s="102"/>
      <c r="D62" s="26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9.5" customHeight="1">
      <c r="A63" s="42"/>
      <c r="B63" s="42"/>
      <c r="C63" s="102"/>
      <c r="D63" s="26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9.5" customHeight="1">
      <c r="A64" s="42"/>
      <c r="B64" s="42"/>
      <c r="C64" s="102"/>
      <c r="D64" s="26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 ht="19.5" customHeight="1">
      <c r="A65" s="42"/>
      <c r="B65" s="42"/>
      <c r="C65" s="102"/>
      <c r="D65" s="26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9.5" customHeight="1">
      <c r="A66" s="42"/>
      <c r="B66" s="42"/>
      <c r="C66" s="102"/>
      <c r="D66" s="26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 ht="19.5" customHeight="1">
      <c r="A67" s="42"/>
      <c r="B67" s="42"/>
      <c r="C67" s="102"/>
      <c r="D67" s="26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9.5" customHeight="1">
      <c r="A68" s="42"/>
      <c r="B68" s="42"/>
      <c r="C68" s="102"/>
      <c r="D68" s="26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1:19" ht="19.5" customHeight="1">
      <c r="A69" s="42"/>
      <c r="B69" s="42"/>
      <c r="C69" s="102"/>
      <c r="D69" s="26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ht="19.5" customHeight="1">
      <c r="A70" s="42"/>
      <c r="B70" s="42"/>
      <c r="C70" s="102"/>
      <c r="D70" s="26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 ht="19.5" customHeight="1">
      <c r="A71" s="42"/>
      <c r="B71" s="42"/>
      <c r="C71" s="102"/>
      <c r="D71" s="26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ht="19.5" customHeight="1">
      <c r="A72" s="42"/>
      <c r="B72" s="42"/>
      <c r="C72" s="102"/>
      <c r="D72" s="26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:19" ht="19.5" customHeight="1">
      <c r="A73" s="42"/>
      <c r="B73" s="42"/>
      <c r="C73" s="102"/>
      <c r="D73" s="26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ht="19.5" customHeight="1">
      <c r="A74" s="42"/>
      <c r="B74" s="42"/>
      <c r="C74" s="102"/>
      <c r="D74" s="26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:19" ht="19.5" customHeight="1">
      <c r="A75" s="42"/>
      <c r="B75" s="42"/>
      <c r="C75" s="102"/>
      <c r="D75" s="26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ht="19.5" customHeight="1">
      <c r="A76" s="42"/>
      <c r="B76" s="42"/>
      <c r="C76" s="102"/>
      <c r="D76" s="26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1:19" ht="19.5" customHeight="1">
      <c r="A77" s="42"/>
      <c r="B77" s="42"/>
      <c r="C77" s="102"/>
      <c r="D77" s="26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1:19" ht="19.5" customHeight="1">
      <c r="A78" s="42"/>
      <c r="B78" s="42"/>
      <c r="C78" s="102"/>
      <c r="D78" s="26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19" s="14" customFormat="1" ht="19.5" customHeight="1">
      <c r="A79" s="24" t="s">
        <v>25</v>
      </c>
      <c r="B79" s="24"/>
      <c r="C79" s="22"/>
      <c r="D79" s="23"/>
      <c r="E79" s="69" t="s">
        <v>3</v>
      </c>
      <c r="F79" s="69" t="s">
        <v>3</v>
      </c>
      <c r="G79" s="69" t="s">
        <v>3</v>
      </c>
      <c r="H79" s="69" t="s">
        <v>3</v>
      </c>
      <c r="I79" s="69" t="s">
        <v>3</v>
      </c>
      <c r="J79" s="69" t="s">
        <v>3</v>
      </c>
      <c r="K79" s="69" t="s">
        <v>3</v>
      </c>
      <c r="L79" s="69" t="s">
        <v>3</v>
      </c>
      <c r="M79" s="69" t="s">
        <v>3</v>
      </c>
      <c r="N79" s="69" t="s">
        <v>3</v>
      </c>
      <c r="O79" s="69" t="s">
        <v>3</v>
      </c>
      <c r="P79" s="69" t="s">
        <v>3</v>
      </c>
      <c r="Q79" s="69" t="s">
        <v>39</v>
      </c>
      <c r="R79" s="25" t="s">
        <v>37</v>
      </c>
      <c r="S79" s="25" t="s">
        <v>28</v>
      </c>
    </row>
    <row r="80" spans="1:19" s="14" customFormat="1" ht="19.5" customHeight="1">
      <c r="A80" s="24" t="s">
        <v>63</v>
      </c>
      <c r="B80" s="24"/>
      <c r="C80" s="22"/>
      <c r="D80" s="26"/>
      <c r="E80" s="76" t="s">
        <v>76</v>
      </c>
      <c r="F80" s="76" t="s">
        <v>77</v>
      </c>
      <c r="G80" s="76" t="s">
        <v>78</v>
      </c>
      <c r="H80" s="76" t="s">
        <v>79</v>
      </c>
      <c r="I80" s="76" t="s">
        <v>80</v>
      </c>
      <c r="J80" s="76" t="s">
        <v>81</v>
      </c>
      <c r="K80" s="76" t="s">
        <v>82</v>
      </c>
      <c r="L80" s="76" t="s">
        <v>83</v>
      </c>
      <c r="M80" s="76" t="s">
        <v>84</v>
      </c>
      <c r="N80" s="76" t="s">
        <v>85</v>
      </c>
      <c r="O80" s="76" t="s">
        <v>86</v>
      </c>
      <c r="P80" s="76" t="s">
        <v>140</v>
      </c>
      <c r="Q80" s="69" t="s">
        <v>36</v>
      </c>
      <c r="R80" s="25" t="s">
        <v>26</v>
      </c>
      <c r="S80" s="28"/>
    </row>
    <row r="81" spans="1:19" s="14" customFormat="1" ht="19.5" customHeight="1">
      <c r="A81" s="24" t="s">
        <v>3</v>
      </c>
      <c r="B81" s="24"/>
      <c r="C81" s="22"/>
      <c r="D81" s="26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69" t="s">
        <v>29</v>
      </c>
      <c r="R81" s="25" t="s">
        <v>27</v>
      </c>
      <c r="S81" s="28"/>
    </row>
    <row r="82" spans="1:19" ht="19.5" customHeight="1">
      <c r="A82" s="42"/>
      <c r="B82" s="42"/>
      <c r="C82" s="102"/>
      <c r="D82" s="26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</row>
    <row r="83" spans="1:19" ht="19.5" customHeight="1">
      <c r="A83" s="68">
        <f>SUM(E83:P83)+1</f>
        <v>2225620</v>
      </c>
      <c r="B83" s="32"/>
      <c r="C83" s="102"/>
      <c r="D83" s="26" t="s">
        <v>12</v>
      </c>
      <c r="E83" s="32">
        <f>139509+300</f>
        <v>139809</v>
      </c>
      <c r="F83" s="33">
        <v>180671</v>
      </c>
      <c r="G83" s="33">
        <f>13+18720+87510+9124+693</f>
        <v>116060</v>
      </c>
      <c r="H83" s="33">
        <f>17+21225+98558+10946+93472+1060</f>
        <v>225278</v>
      </c>
      <c r="I83" s="33">
        <v>173505</v>
      </c>
      <c r="J83" s="33">
        <v>183653</v>
      </c>
      <c r="K83" s="33">
        <f>152140-132</f>
        <v>152008</v>
      </c>
      <c r="L83" s="33">
        <v>185025</v>
      </c>
      <c r="M83" s="33">
        <v>220795</v>
      </c>
      <c r="N83" s="33">
        <v>188621</v>
      </c>
      <c r="O83" s="33">
        <f>190374+66131</f>
        <v>256505</v>
      </c>
      <c r="P83" s="33">
        <f>269820-48234-17897</f>
        <v>203689</v>
      </c>
      <c r="Q83" s="32">
        <f>+A83/12</f>
        <v>185468.33333333334</v>
      </c>
      <c r="R83" s="33">
        <v>180624</v>
      </c>
      <c r="S83" s="33">
        <f aca="true" t="shared" si="3" ref="S83:S91">SUM(R83-Q83)</f>
        <v>-4844.333333333343</v>
      </c>
    </row>
    <row r="84" spans="1:19" ht="19.5" customHeight="1">
      <c r="A84" s="68">
        <f aca="true" t="shared" si="4" ref="A84:A90">SUM(E84:P84)</f>
        <v>295599</v>
      </c>
      <c r="B84" s="32"/>
      <c r="C84" s="102"/>
      <c r="D84" s="26" t="s">
        <v>13</v>
      </c>
      <c r="E84" s="32">
        <v>14965</v>
      </c>
      <c r="F84" s="33">
        <v>15485</v>
      </c>
      <c r="G84" s="33">
        <f>1330+5149+12049+1181+59+156</f>
        <v>19924</v>
      </c>
      <c r="H84" s="33">
        <f>-396+6173+8543+1201+13495+809</f>
        <v>29825</v>
      </c>
      <c r="I84" s="33">
        <v>19008</v>
      </c>
      <c r="J84" s="33">
        <v>23876</v>
      </c>
      <c r="K84" s="33">
        <v>26251</v>
      </c>
      <c r="L84" s="33">
        <v>25995</v>
      </c>
      <c r="M84" s="33">
        <v>24641</v>
      </c>
      <c r="N84" s="33">
        <v>21493</v>
      </c>
      <c r="O84" s="33">
        <v>28338</v>
      </c>
      <c r="P84" s="33">
        <v>45798</v>
      </c>
      <c r="Q84" s="32">
        <f aca="true" t="shared" si="5" ref="Q84:Q90">+A84/12</f>
        <v>24633.25</v>
      </c>
      <c r="R84" s="33">
        <v>21448</v>
      </c>
      <c r="S84" s="33">
        <f t="shared" si="3"/>
        <v>-3185.25</v>
      </c>
    </row>
    <row r="85" spans="1:19" ht="19.5" customHeight="1">
      <c r="A85" s="68">
        <f t="shared" si="4"/>
        <v>126669</v>
      </c>
      <c r="B85" s="32"/>
      <c r="C85" s="102"/>
      <c r="D85" s="26" t="s">
        <v>14</v>
      </c>
      <c r="E85" s="32">
        <v>5721</v>
      </c>
      <c r="F85" s="33">
        <v>4724</v>
      </c>
      <c r="G85" s="33">
        <f>1187+3597+176+30</f>
        <v>4990</v>
      </c>
      <c r="H85" s="33">
        <f>906+3349+395+1344+24</f>
        <v>6018</v>
      </c>
      <c r="I85" s="33">
        <v>5019</v>
      </c>
      <c r="J85" s="33">
        <v>5867</v>
      </c>
      <c r="K85" s="33">
        <v>4541</v>
      </c>
      <c r="L85" s="33">
        <v>5192</v>
      </c>
      <c r="M85" s="33">
        <v>4880</v>
      </c>
      <c r="N85" s="33">
        <v>5217</v>
      </c>
      <c r="O85" s="33">
        <v>5580</v>
      </c>
      <c r="P85" s="33">
        <v>68920</v>
      </c>
      <c r="Q85" s="32">
        <f t="shared" si="5"/>
        <v>10555.75</v>
      </c>
      <c r="R85" s="33">
        <v>8278</v>
      </c>
      <c r="S85" s="33">
        <f t="shared" si="3"/>
        <v>-2277.75</v>
      </c>
    </row>
    <row r="86" spans="1:19" ht="19.5" customHeight="1">
      <c r="A86" s="68">
        <f t="shared" si="4"/>
        <v>147962</v>
      </c>
      <c r="B86" s="32"/>
      <c r="C86" s="102"/>
      <c r="D86" s="26" t="s">
        <v>15</v>
      </c>
      <c r="E86" s="32">
        <v>18074</v>
      </c>
      <c r="F86" s="33">
        <v>-2855</v>
      </c>
      <c r="G86" s="33">
        <f>948+3331+60+2975</f>
        <v>7314</v>
      </c>
      <c r="H86" s="33">
        <f>1766+4356+115+332+11572</f>
        <v>18141</v>
      </c>
      <c r="I86" s="33">
        <v>8322</v>
      </c>
      <c r="J86" s="33">
        <v>8669</v>
      </c>
      <c r="K86" s="33">
        <v>7003</v>
      </c>
      <c r="L86" s="33">
        <v>5246</v>
      </c>
      <c r="M86" s="33">
        <v>9153</v>
      </c>
      <c r="N86" s="33">
        <v>6119</v>
      </c>
      <c r="O86" s="33">
        <v>14805</v>
      </c>
      <c r="P86" s="33">
        <v>47971</v>
      </c>
      <c r="Q86" s="32">
        <f t="shared" si="5"/>
        <v>12330.166666666666</v>
      </c>
      <c r="R86" s="33">
        <v>15511</v>
      </c>
      <c r="S86" s="33">
        <f t="shared" si="3"/>
        <v>3180.833333333334</v>
      </c>
    </row>
    <row r="87" spans="1:19" ht="19.5" customHeight="1">
      <c r="A87" s="68">
        <f t="shared" si="4"/>
        <v>278814</v>
      </c>
      <c r="B87" s="32"/>
      <c r="C87" s="104"/>
      <c r="D87" s="26" t="s">
        <v>16</v>
      </c>
      <c r="E87" s="32">
        <v>31</v>
      </c>
      <c r="F87" s="33">
        <v>1</v>
      </c>
      <c r="G87" s="33">
        <v>30497</v>
      </c>
      <c r="H87" s="33">
        <f>15+3</f>
        <v>18</v>
      </c>
      <c r="I87" s="33">
        <v>174</v>
      </c>
      <c r="J87" s="33">
        <v>57602</v>
      </c>
      <c r="K87" s="33">
        <v>32202</v>
      </c>
      <c r="L87" s="33">
        <v>204</v>
      </c>
      <c r="M87" s="33">
        <v>3879</v>
      </c>
      <c r="N87" s="33">
        <v>61139</v>
      </c>
      <c r="O87" s="33">
        <v>5768</v>
      </c>
      <c r="P87" s="33">
        <v>87299</v>
      </c>
      <c r="Q87" s="32">
        <f t="shared" si="5"/>
        <v>23234.5</v>
      </c>
      <c r="R87" s="33">
        <v>24072</v>
      </c>
      <c r="S87" s="33">
        <f t="shared" si="3"/>
        <v>837.5</v>
      </c>
    </row>
    <row r="88" spans="1:19" ht="19.5" customHeight="1">
      <c r="A88" s="68">
        <f t="shared" si="4"/>
        <v>354398</v>
      </c>
      <c r="B88" s="32"/>
      <c r="C88" s="102"/>
      <c r="D88" s="26" t="s">
        <v>17</v>
      </c>
      <c r="E88" s="32">
        <v>16502</v>
      </c>
      <c r="F88" s="33">
        <v>23618</v>
      </c>
      <c r="G88" s="33">
        <f>4574+7446+734+3811</f>
        <v>16565</v>
      </c>
      <c r="H88" s="33">
        <f>5207+8058+601+8266+8280</f>
        <v>30412</v>
      </c>
      <c r="I88" s="33">
        <v>15778</v>
      </c>
      <c r="J88" s="33">
        <v>27302</v>
      </c>
      <c r="K88" s="33">
        <v>29877</v>
      </c>
      <c r="L88" s="33">
        <v>30270</v>
      </c>
      <c r="M88" s="33">
        <v>45217</v>
      </c>
      <c r="N88" s="33">
        <v>28543</v>
      </c>
      <c r="O88" s="33">
        <v>30900</v>
      </c>
      <c r="P88" s="33">
        <v>59414</v>
      </c>
      <c r="Q88" s="32">
        <f t="shared" si="5"/>
        <v>29533.166666666668</v>
      </c>
      <c r="R88" s="33">
        <v>29529</v>
      </c>
      <c r="S88" s="33">
        <f t="shared" si="3"/>
        <v>-4.166666666667879</v>
      </c>
    </row>
    <row r="89" spans="1:19" ht="19.5" customHeight="1">
      <c r="A89" s="68">
        <f t="shared" si="4"/>
        <v>815927</v>
      </c>
      <c r="B89" s="32"/>
      <c r="C89" s="102"/>
      <c r="D89" s="26" t="s">
        <v>18</v>
      </c>
      <c r="E89" s="32">
        <v>79152</v>
      </c>
      <c r="F89" s="33">
        <v>62412</v>
      </c>
      <c r="G89" s="33">
        <v>140745</v>
      </c>
      <c r="H89" s="33">
        <v>0</v>
      </c>
      <c r="I89" s="33">
        <v>62812</v>
      </c>
      <c r="J89" s="33">
        <v>64312</v>
      </c>
      <c r="K89" s="33">
        <v>78332</v>
      </c>
      <c r="L89" s="33">
        <v>62411</v>
      </c>
      <c r="M89" s="33">
        <v>63865</v>
      </c>
      <c r="N89" s="33">
        <v>78575</v>
      </c>
      <c r="O89" s="33">
        <v>62655</v>
      </c>
      <c r="P89" s="33">
        <v>60656</v>
      </c>
      <c r="Q89" s="32">
        <f t="shared" si="5"/>
        <v>67993.91666666667</v>
      </c>
      <c r="R89" s="33">
        <v>67994</v>
      </c>
      <c r="S89" s="33">
        <f t="shared" si="3"/>
        <v>0.0833333333284827</v>
      </c>
    </row>
    <row r="90" spans="1:19" ht="19.5" customHeight="1">
      <c r="A90" s="68">
        <f t="shared" si="4"/>
        <v>104600</v>
      </c>
      <c r="B90" s="39"/>
      <c r="C90" s="34"/>
      <c r="D90" s="26" t="s">
        <v>19</v>
      </c>
      <c r="E90" s="35">
        <v>5089</v>
      </c>
      <c r="F90" s="46">
        <v>4519</v>
      </c>
      <c r="G90" s="33">
        <f>684+2512+1534</f>
        <v>4730</v>
      </c>
      <c r="H90" s="33">
        <f>106+17+2603+2427+1</f>
        <v>5154</v>
      </c>
      <c r="I90" s="33">
        <v>304</v>
      </c>
      <c r="J90" s="33">
        <v>-1759</v>
      </c>
      <c r="K90" s="33">
        <v>3883</v>
      </c>
      <c r="L90" s="33">
        <v>8398</v>
      </c>
      <c r="M90" s="33">
        <v>5350</v>
      </c>
      <c r="N90" s="33">
        <v>-965</v>
      </c>
      <c r="O90" s="33">
        <v>2651</v>
      </c>
      <c r="P90" s="33">
        <v>67246</v>
      </c>
      <c r="Q90" s="32">
        <f t="shared" si="5"/>
        <v>8716.666666666666</v>
      </c>
      <c r="R90" s="36">
        <v>6863</v>
      </c>
      <c r="S90" s="36">
        <f t="shared" si="3"/>
        <v>-1853.666666666666</v>
      </c>
    </row>
    <row r="91" spans="1:19" ht="19.5" customHeight="1" thickBot="1">
      <c r="A91" s="40">
        <f>SUM(A83:A90)</f>
        <v>4349589</v>
      </c>
      <c r="B91" s="42"/>
      <c r="C91" s="18"/>
      <c r="D91" s="22" t="s">
        <v>20</v>
      </c>
      <c r="E91" s="19">
        <f aca="true" t="shared" si="6" ref="E91:R91">SUM(E83:E90)</f>
        <v>279343</v>
      </c>
      <c r="F91" s="40">
        <f t="shared" si="6"/>
        <v>288575</v>
      </c>
      <c r="G91" s="40">
        <f t="shared" si="6"/>
        <v>340825</v>
      </c>
      <c r="H91" s="40">
        <f t="shared" si="6"/>
        <v>314846</v>
      </c>
      <c r="I91" s="40">
        <f t="shared" si="6"/>
        <v>284922</v>
      </c>
      <c r="J91" s="40">
        <f t="shared" si="6"/>
        <v>369522</v>
      </c>
      <c r="K91" s="40">
        <f t="shared" si="6"/>
        <v>334097</v>
      </c>
      <c r="L91" s="40">
        <f t="shared" si="6"/>
        <v>322741</v>
      </c>
      <c r="M91" s="40">
        <f t="shared" si="6"/>
        <v>377780</v>
      </c>
      <c r="N91" s="40">
        <f t="shared" si="6"/>
        <v>388742</v>
      </c>
      <c r="O91" s="40">
        <f t="shared" si="6"/>
        <v>407202</v>
      </c>
      <c r="P91" s="40">
        <f t="shared" si="6"/>
        <v>640993</v>
      </c>
      <c r="Q91" s="40">
        <f t="shared" si="6"/>
        <v>362465.75000000006</v>
      </c>
      <c r="R91" s="37">
        <f t="shared" si="6"/>
        <v>354319</v>
      </c>
      <c r="S91" s="37">
        <f t="shared" si="3"/>
        <v>-8146.750000000058</v>
      </c>
    </row>
    <row r="92" spans="1:19" ht="19.5" customHeight="1" thickTop="1">
      <c r="A92" s="42"/>
      <c r="B92" s="42"/>
      <c r="C92" s="18"/>
      <c r="D92" s="2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52"/>
      <c r="S92" s="52"/>
    </row>
    <row r="93" spans="1:19" ht="25.5" customHeight="1">
      <c r="A93" s="47"/>
      <c r="B93" s="47"/>
      <c r="C93" s="22"/>
      <c r="D93" s="159" t="s">
        <v>67</v>
      </c>
      <c r="E93" s="159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19.5" customHeight="1">
      <c r="A94" s="47"/>
      <c r="B94" s="47"/>
      <c r="C94" s="22"/>
      <c r="D94" s="22" t="s">
        <v>5</v>
      </c>
      <c r="E94" s="47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ht="19.5" customHeight="1">
      <c r="A95" s="68">
        <f>SUM(E95:P95)</f>
        <v>409484</v>
      </c>
      <c r="B95" s="32"/>
      <c r="C95" s="102"/>
      <c r="D95" s="26" t="s">
        <v>21</v>
      </c>
      <c r="E95" s="32">
        <f>18074-23-839+31</f>
        <v>17243</v>
      </c>
      <c r="F95" s="46">
        <f>-2855+875+174+1</f>
        <v>-1805</v>
      </c>
      <c r="G95" s="33">
        <f>30497+7314-38-1131</f>
        <v>36642</v>
      </c>
      <c r="H95" s="33">
        <v>16928</v>
      </c>
      <c r="I95" s="33">
        <f>+I87+I86</f>
        <v>8496</v>
      </c>
      <c r="J95" s="33">
        <f>+J87+J86</f>
        <v>66271</v>
      </c>
      <c r="K95" s="33">
        <v>24126</v>
      </c>
      <c r="L95" s="33">
        <f>+L86+L87</f>
        <v>5450</v>
      </c>
      <c r="M95" s="33">
        <f>+M86+M87</f>
        <v>13032</v>
      </c>
      <c r="N95" s="33">
        <f>+N86+N87</f>
        <v>67258</v>
      </c>
      <c r="O95" s="33">
        <f>+O86+O87</f>
        <v>20573</v>
      </c>
      <c r="P95" s="33">
        <f>+P86+P87</f>
        <v>135270</v>
      </c>
      <c r="Q95" s="32">
        <f>+A95/12</f>
        <v>34123.666666666664</v>
      </c>
      <c r="R95" s="33">
        <v>38113</v>
      </c>
      <c r="S95" s="33">
        <f>SUM(R95-Q95)</f>
        <v>3989.3333333333358</v>
      </c>
    </row>
    <row r="96" spans="1:19" ht="19.5" customHeight="1">
      <c r="A96" s="68">
        <f>SUM(E96:P96)</f>
        <v>3124177</v>
      </c>
      <c r="B96" s="32"/>
      <c r="C96" s="102"/>
      <c r="D96" s="26" t="s">
        <v>22</v>
      </c>
      <c r="E96" s="32">
        <f>182648+300</f>
        <v>182948</v>
      </c>
      <c r="F96" s="46">
        <v>227968</v>
      </c>
      <c r="G96" s="33">
        <v>163438</v>
      </c>
      <c r="H96" s="33">
        <v>297918</v>
      </c>
      <c r="I96" s="33">
        <f>+I83+I84+I85+I88+I90</f>
        <v>213614</v>
      </c>
      <c r="J96" s="33">
        <f>+J83+J84+J85+J88+J90</f>
        <v>238939</v>
      </c>
      <c r="K96" s="33">
        <v>231639</v>
      </c>
      <c r="L96" s="33">
        <f>+L83+L84+L85+L88+L90</f>
        <v>254880</v>
      </c>
      <c r="M96" s="33">
        <f>+M83+M84+M85+M88+M90</f>
        <v>300883</v>
      </c>
      <c r="N96" s="33">
        <f>+N83+N84+N85+N88+N90</f>
        <v>242909</v>
      </c>
      <c r="O96" s="33">
        <f>+O83+O84+O85+O88+O90</f>
        <v>323974</v>
      </c>
      <c r="P96" s="33">
        <f>+P83+P84+P85+P88+P90</f>
        <v>445067</v>
      </c>
      <c r="Q96" s="32">
        <f>+A96/12</f>
        <v>260348.08333333334</v>
      </c>
      <c r="R96" s="33">
        <v>248212</v>
      </c>
      <c r="S96" s="33">
        <f>SUM(R96-Q96)</f>
        <v>-12136.083333333343</v>
      </c>
    </row>
    <row r="97" spans="1:19" ht="19.5" customHeight="1">
      <c r="A97" s="68">
        <f>SUM(E97:P97)</f>
        <v>0</v>
      </c>
      <c r="B97" s="32"/>
      <c r="C97" s="104"/>
      <c r="D97" s="26" t="s">
        <v>23</v>
      </c>
      <c r="E97" s="32">
        <v>0</v>
      </c>
      <c r="F97" s="46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2">
        <f>+A97/12</f>
        <v>0</v>
      </c>
      <c r="R97" s="33">
        <v>0</v>
      </c>
      <c r="S97" s="33">
        <f>SUM(R97-Q97)</f>
        <v>0</v>
      </c>
    </row>
    <row r="98" spans="1:19" ht="19.5" customHeight="1">
      <c r="A98" s="68">
        <f>SUM(E98:P98)</f>
        <v>815927</v>
      </c>
      <c r="B98" s="32"/>
      <c r="C98" s="102"/>
      <c r="D98" s="26" t="s">
        <v>24</v>
      </c>
      <c r="E98" s="32">
        <v>79152</v>
      </c>
      <c r="F98" s="36">
        <v>62412</v>
      </c>
      <c r="G98" s="33">
        <v>140745</v>
      </c>
      <c r="H98" s="33">
        <v>0</v>
      </c>
      <c r="I98" s="33">
        <f>+I89</f>
        <v>62812</v>
      </c>
      <c r="J98" s="33">
        <f>+J89</f>
        <v>64312</v>
      </c>
      <c r="K98" s="33">
        <v>78332</v>
      </c>
      <c r="L98" s="33">
        <f>+L89</f>
        <v>62411</v>
      </c>
      <c r="M98" s="33">
        <f>+M89</f>
        <v>63865</v>
      </c>
      <c r="N98" s="33">
        <f>+N89</f>
        <v>78575</v>
      </c>
      <c r="O98" s="33">
        <f>+O89</f>
        <v>62655</v>
      </c>
      <c r="P98" s="33">
        <f>+P89</f>
        <v>60656</v>
      </c>
      <c r="Q98" s="32">
        <f>+A98/12</f>
        <v>67993.91666666667</v>
      </c>
      <c r="R98" s="33">
        <v>67994</v>
      </c>
      <c r="S98" s="33">
        <f>SUM(R98-Q98)</f>
        <v>0.0833333333284827</v>
      </c>
    </row>
    <row r="99" spans="1:19" ht="19.5" customHeight="1" thickBot="1">
      <c r="A99" s="40">
        <f>SUM(A95:A98)</f>
        <v>4349588</v>
      </c>
      <c r="B99" s="42"/>
      <c r="C99" s="18"/>
      <c r="D99" s="22" t="s">
        <v>25</v>
      </c>
      <c r="E99" s="40">
        <f aca="true" t="shared" si="7" ref="E99:R99">SUM(E95:E98)</f>
        <v>279343</v>
      </c>
      <c r="F99" s="19">
        <f t="shared" si="7"/>
        <v>288575</v>
      </c>
      <c r="G99" s="40">
        <f t="shared" si="7"/>
        <v>340825</v>
      </c>
      <c r="H99" s="40">
        <f t="shared" si="7"/>
        <v>314846</v>
      </c>
      <c r="I99" s="40">
        <f t="shared" si="7"/>
        <v>284922</v>
      </c>
      <c r="J99" s="40">
        <f aca="true" t="shared" si="8" ref="J99:P99">SUM(J95:J98)</f>
        <v>369522</v>
      </c>
      <c r="K99" s="40">
        <f t="shared" si="8"/>
        <v>334097</v>
      </c>
      <c r="L99" s="40">
        <f t="shared" si="8"/>
        <v>322741</v>
      </c>
      <c r="M99" s="40">
        <f t="shared" si="8"/>
        <v>377780</v>
      </c>
      <c r="N99" s="40">
        <f t="shared" si="8"/>
        <v>388742</v>
      </c>
      <c r="O99" s="40">
        <f t="shared" si="8"/>
        <v>407202</v>
      </c>
      <c r="P99" s="40">
        <f t="shared" si="8"/>
        <v>640993</v>
      </c>
      <c r="Q99" s="40">
        <f t="shared" si="7"/>
        <v>362465.6666666667</v>
      </c>
      <c r="R99" s="40">
        <f t="shared" si="7"/>
        <v>354319</v>
      </c>
      <c r="S99" s="37">
        <f>SUM(R99-Q99)</f>
        <v>-8146.666666666686</v>
      </c>
    </row>
    <row r="100" spans="1:19" ht="19.5" customHeight="1" thickTop="1">
      <c r="A100" s="105"/>
      <c r="B100" s="105"/>
      <c r="C100" s="43"/>
      <c r="D100" s="2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19.5" customHeight="1">
      <c r="A101" s="33"/>
      <c r="B101" s="33"/>
      <c r="C101" s="23"/>
      <c r="D101" s="48" t="s">
        <v>56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19.5" customHeight="1">
      <c r="A102" s="68">
        <f>SUM(E102:P102)</f>
        <v>154318</v>
      </c>
      <c r="B102" s="32"/>
      <c r="C102" s="104"/>
      <c r="D102" s="26" t="s">
        <v>68</v>
      </c>
      <c r="E102" s="32">
        <v>12860</v>
      </c>
      <c r="F102" s="33">
        <v>12860</v>
      </c>
      <c r="G102" s="33">
        <v>12860</v>
      </c>
      <c r="H102" s="33">
        <v>12860</v>
      </c>
      <c r="I102" s="33">
        <v>12860</v>
      </c>
      <c r="J102" s="33">
        <v>12860</v>
      </c>
      <c r="K102" s="33">
        <v>12860</v>
      </c>
      <c r="L102" s="33">
        <f>+K102</f>
        <v>12860</v>
      </c>
      <c r="M102" s="33">
        <v>12860</v>
      </c>
      <c r="N102" s="33">
        <v>12860</v>
      </c>
      <c r="O102" s="33">
        <v>12859</v>
      </c>
      <c r="P102" s="33">
        <v>12859</v>
      </c>
      <c r="Q102" s="32">
        <v>12860</v>
      </c>
      <c r="R102" s="33">
        <v>12934</v>
      </c>
      <c r="S102" s="33">
        <v>0</v>
      </c>
    </row>
    <row r="103" spans="1:19" ht="19.5" customHeight="1">
      <c r="A103" s="68">
        <f>SUM(E103:P103)</f>
        <v>155956</v>
      </c>
      <c r="B103" s="32"/>
      <c r="C103" s="102"/>
      <c r="D103" s="26" t="s">
        <v>142</v>
      </c>
      <c r="E103" s="32">
        <v>153</v>
      </c>
      <c r="F103" s="33">
        <v>2093</v>
      </c>
      <c r="G103" s="33">
        <v>13055</v>
      </c>
      <c r="H103" s="33">
        <v>14033</v>
      </c>
      <c r="I103" s="33">
        <v>13041</v>
      </c>
      <c r="J103" s="33">
        <v>15465</v>
      </c>
      <c r="K103" s="33">
        <v>42430</v>
      </c>
      <c r="L103" s="33">
        <v>12205</v>
      </c>
      <c r="M103" s="33">
        <v>12802</v>
      </c>
      <c r="N103" s="33">
        <v>9407</v>
      </c>
      <c r="O103" s="33">
        <v>10521</v>
      </c>
      <c r="P103" s="33">
        <v>10751</v>
      </c>
      <c r="Q103" s="32">
        <f>+A103/12</f>
        <v>12996.333333333334</v>
      </c>
      <c r="R103" s="33">
        <v>12934</v>
      </c>
      <c r="S103" s="33">
        <f>SUM(R103-Q103)</f>
        <v>-62.33333333333394</v>
      </c>
    </row>
    <row r="104" spans="1:19" ht="19.5" customHeight="1" thickBot="1">
      <c r="A104" s="40">
        <f>SUM(A102-A103)</f>
        <v>-1638</v>
      </c>
      <c r="B104" s="42"/>
      <c r="C104" s="102"/>
      <c r="D104" s="26"/>
      <c r="E104" s="40">
        <f aca="true" t="shared" si="9" ref="E104:R104">SUM(E102-E103)</f>
        <v>12707</v>
      </c>
      <c r="F104" s="40">
        <f t="shared" si="9"/>
        <v>10767</v>
      </c>
      <c r="G104" s="40">
        <f t="shared" si="9"/>
        <v>-195</v>
      </c>
      <c r="H104" s="40">
        <f t="shared" si="9"/>
        <v>-1173</v>
      </c>
      <c r="I104" s="40">
        <f t="shared" si="9"/>
        <v>-181</v>
      </c>
      <c r="J104" s="40">
        <f aca="true" t="shared" si="10" ref="J104:P104">SUM(J102-J103)</f>
        <v>-2605</v>
      </c>
      <c r="K104" s="40">
        <f t="shared" si="10"/>
        <v>-29570</v>
      </c>
      <c r="L104" s="40">
        <f t="shared" si="10"/>
        <v>655</v>
      </c>
      <c r="M104" s="40">
        <f t="shared" si="10"/>
        <v>58</v>
      </c>
      <c r="N104" s="40">
        <f t="shared" si="10"/>
        <v>3453</v>
      </c>
      <c r="O104" s="40">
        <f t="shared" si="10"/>
        <v>2338</v>
      </c>
      <c r="P104" s="40">
        <f t="shared" si="10"/>
        <v>2108</v>
      </c>
      <c r="Q104" s="40">
        <f t="shared" si="9"/>
        <v>-136.33333333333394</v>
      </c>
      <c r="R104" s="40">
        <f t="shared" si="9"/>
        <v>0</v>
      </c>
      <c r="S104" s="40">
        <f>SUM(S103)</f>
        <v>-62.33333333333394</v>
      </c>
    </row>
    <row r="105" spans="1:19" ht="19.5" customHeight="1" thickTop="1">
      <c r="A105" s="42"/>
      <c r="B105" s="42"/>
      <c r="C105" s="102"/>
      <c r="D105" s="26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</row>
    <row r="106" spans="1:19" ht="19.5" customHeight="1">
      <c r="A106" s="42"/>
      <c r="B106" s="42"/>
      <c r="C106" s="102"/>
      <c r="D106" s="26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</row>
    <row r="107" spans="1:19" ht="19.5" customHeight="1">
      <c r="A107" s="42"/>
      <c r="B107" s="42"/>
      <c r="C107" s="102"/>
      <c r="D107" s="26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</row>
    <row r="108" spans="1:19" ht="19.5" customHeight="1">
      <c r="A108" s="42"/>
      <c r="B108" s="42"/>
      <c r="C108" s="102"/>
      <c r="D108" s="26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</row>
    <row r="109" spans="1:19" ht="19.5" customHeight="1">
      <c r="A109" s="42"/>
      <c r="B109" s="42"/>
      <c r="C109" s="102"/>
      <c r="D109" s="26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</row>
    <row r="110" spans="1:19" ht="19.5" customHeight="1">
      <c r="A110" s="42"/>
      <c r="B110" s="42"/>
      <c r="C110" s="102"/>
      <c r="D110" s="26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</row>
    <row r="111" spans="1:19" ht="19.5" customHeight="1">
      <c r="A111" s="42"/>
      <c r="B111" s="42"/>
      <c r="C111" s="102"/>
      <c r="D111" s="26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</row>
    <row r="112" spans="1:19" ht="19.5" customHeight="1">
      <c r="A112" s="42"/>
      <c r="B112" s="42"/>
      <c r="C112" s="102"/>
      <c r="D112" s="26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</row>
    <row r="113" spans="1:19" ht="19.5" customHeight="1">
      <c r="A113" s="42"/>
      <c r="B113" s="42"/>
      <c r="C113" s="102"/>
      <c r="D113" s="26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</row>
    <row r="114" spans="1:19" ht="19.5" customHeight="1">
      <c r="A114" s="42"/>
      <c r="B114" s="42"/>
      <c r="C114" s="102"/>
      <c r="D114" s="26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</row>
    <row r="115" spans="1:19" ht="19.5" customHeight="1">
      <c r="A115" s="42"/>
      <c r="B115" s="42"/>
      <c r="C115" s="102"/>
      <c r="D115" s="26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</row>
    <row r="116" spans="1:19" ht="19.5" customHeight="1">
      <c r="A116" s="42"/>
      <c r="B116" s="42"/>
      <c r="C116" s="102"/>
      <c r="D116" s="26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</row>
    <row r="117" spans="1:19" ht="19.5" customHeight="1">
      <c r="A117" s="42"/>
      <c r="B117" s="42"/>
      <c r="C117" s="102"/>
      <c r="D117" s="26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</row>
    <row r="118" spans="1:19" ht="19.5" customHeight="1">
      <c r="A118" s="42"/>
      <c r="B118" s="42"/>
      <c r="C118" s="102"/>
      <c r="D118" s="26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</row>
    <row r="119" spans="1:19" ht="19.5" customHeight="1">
      <c r="A119" s="42"/>
      <c r="B119" s="42"/>
      <c r="C119" s="102"/>
      <c r="D119" s="26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</row>
    <row r="120" spans="1:19" ht="19.5" customHeight="1">
      <c r="A120" s="42"/>
      <c r="B120" s="42"/>
      <c r="C120" s="102"/>
      <c r="D120" s="26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</row>
    <row r="121" spans="1:19" ht="19.5" customHeight="1">
      <c r="A121" s="42"/>
      <c r="B121" s="42"/>
      <c r="C121" s="102"/>
      <c r="D121" s="26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</row>
    <row r="122" spans="1:19" ht="19.5" customHeight="1">
      <c r="A122" s="42"/>
      <c r="B122" s="42"/>
      <c r="C122" s="102"/>
      <c r="D122" s="26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</row>
    <row r="123" spans="1:19" ht="19.5" customHeight="1">
      <c r="A123" s="42"/>
      <c r="B123" s="42"/>
      <c r="C123" s="102"/>
      <c r="D123" s="26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</row>
    <row r="124" spans="1:19" ht="19.5" customHeight="1">
      <c r="A124" s="42"/>
      <c r="B124" s="42"/>
      <c r="C124" s="102"/>
      <c r="D124" s="26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</row>
    <row r="125" spans="1:19" ht="19.5" customHeight="1">
      <c r="A125" s="42"/>
      <c r="B125" s="42"/>
      <c r="C125" s="102"/>
      <c r="D125" s="26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</row>
    <row r="126" spans="1:19" ht="19.5" customHeight="1">
      <c r="A126" s="42"/>
      <c r="B126" s="42"/>
      <c r="C126" s="102"/>
      <c r="D126" s="26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</row>
    <row r="127" spans="1:19" ht="19.5" customHeight="1">
      <c r="A127" s="42"/>
      <c r="B127" s="42"/>
      <c r="C127" s="102"/>
      <c r="D127" s="26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</row>
    <row r="128" spans="1:19" ht="19.5" customHeight="1">
      <c r="A128" s="42"/>
      <c r="B128" s="42"/>
      <c r="C128" s="102"/>
      <c r="D128" s="26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</row>
    <row r="129" spans="1:19" ht="19.5" customHeight="1">
      <c r="A129" s="42"/>
      <c r="B129" s="42"/>
      <c r="C129" s="102"/>
      <c r="D129" s="26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</row>
    <row r="130" spans="1:19" ht="19.5" customHeight="1">
      <c r="A130" s="42"/>
      <c r="B130" s="42"/>
      <c r="C130" s="102"/>
      <c r="D130" s="26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</row>
    <row r="131" spans="1:19" ht="19.5" customHeight="1">
      <c r="A131" s="42"/>
      <c r="B131" s="42"/>
      <c r="C131" s="102"/>
      <c r="D131" s="26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</row>
    <row r="132" spans="1:19" ht="19.5" customHeight="1">
      <c r="A132" s="42"/>
      <c r="B132" s="42"/>
      <c r="C132" s="102"/>
      <c r="D132" s="26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</row>
    <row r="133" spans="1:19" ht="19.5" customHeight="1">
      <c r="A133" s="42"/>
      <c r="B133" s="42"/>
      <c r="C133" s="102"/>
      <c r="D133" s="26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</row>
    <row r="134" spans="1:19" ht="19.5" customHeight="1">
      <c r="A134" s="42"/>
      <c r="B134" s="42"/>
      <c r="C134" s="102"/>
      <c r="D134" s="26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</row>
    <row r="135" spans="1:19" ht="19.5" customHeight="1">
      <c r="A135" s="42"/>
      <c r="B135" s="42"/>
      <c r="C135" s="102"/>
      <c r="D135" s="26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</row>
    <row r="136" spans="1:19" ht="19.5" customHeight="1">
      <c r="A136" s="42"/>
      <c r="B136" s="42"/>
      <c r="C136" s="102"/>
      <c r="D136" s="26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</row>
    <row r="137" spans="1:19" ht="19.5" customHeight="1">
      <c r="A137" s="42"/>
      <c r="B137" s="42"/>
      <c r="C137" s="102"/>
      <c r="D137" s="26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</row>
    <row r="138" spans="1:19" ht="19.5" customHeight="1">
      <c r="A138" s="42"/>
      <c r="B138" s="42"/>
      <c r="C138" s="102"/>
      <c r="D138" s="26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</row>
    <row r="139" spans="1:19" ht="19.5" customHeight="1">
      <c r="A139" s="42"/>
      <c r="B139" s="42"/>
      <c r="C139" s="102"/>
      <c r="D139" s="26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</row>
    <row r="140" spans="1:19" ht="19.5" customHeight="1">
      <c r="A140" s="42"/>
      <c r="B140" s="42"/>
      <c r="C140" s="102"/>
      <c r="D140" s="26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</row>
    <row r="141" spans="1:19" ht="19.5" customHeight="1">
      <c r="A141" s="42"/>
      <c r="B141" s="42"/>
      <c r="C141" s="102"/>
      <c r="D141" s="26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</row>
    <row r="142" spans="1:19" ht="19.5" customHeight="1">
      <c r="A142" s="42"/>
      <c r="B142" s="42"/>
      <c r="C142" s="102"/>
      <c r="D142" s="26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</row>
    <row r="143" spans="1:19" ht="19.5" customHeight="1">
      <c r="A143" s="42"/>
      <c r="B143" s="42"/>
      <c r="C143" s="102"/>
      <c r="D143" s="26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</row>
    <row r="144" spans="1:19" ht="19.5" customHeight="1">
      <c r="A144" s="42"/>
      <c r="B144" s="42"/>
      <c r="C144" s="102"/>
      <c r="D144" s="26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</row>
    <row r="145" spans="1:19" ht="19.5" customHeight="1">
      <c r="A145" s="42"/>
      <c r="B145" s="42"/>
      <c r="C145" s="102"/>
      <c r="D145" s="26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</row>
    <row r="146" spans="1:19" ht="19.5" customHeight="1">
      <c r="A146" s="42"/>
      <c r="B146" s="42"/>
      <c r="C146" s="102"/>
      <c r="D146" s="26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</row>
    <row r="147" spans="1:19" ht="19.5" customHeight="1">
      <c r="A147" s="42"/>
      <c r="B147" s="42"/>
      <c r="C147" s="102"/>
      <c r="D147" s="26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</row>
    <row r="148" spans="1:19" ht="19.5" customHeight="1">
      <c r="A148" s="42"/>
      <c r="B148" s="42"/>
      <c r="C148" s="102"/>
      <c r="D148" s="26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</row>
    <row r="149" spans="1:19" ht="19.5" customHeight="1">
      <c r="A149" s="42"/>
      <c r="B149" s="42"/>
      <c r="C149" s="102"/>
      <c r="D149" s="26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</row>
    <row r="150" spans="1:19" ht="19.5" customHeight="1">
      <c r="A150" s="42"/>
      <c r="B150" s="42"/>
      <c r="C150" s="102"/>
      <c r="D150" s="26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</row>
    <row r="151" spans="1:19" ht="19.5" customHeight="1">
      <c r="A151" s="42"/>
      <c r="B151" s="42"/>
      <c r="C151" s="102"/>
      <c r="D151" s="26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</row>
    <row r="152" spans="1:19" ht="19.5" customHeight="1">
      <c r="A152" s="42"/>
      <c r="B152" s="42"/>
      <c r="C152" s="102"/>
      <c r="D152" s="26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</row>
    <row r="153" spans="1:19" ht="19.5" customHeight="1">
      <c r="A153" s="42"/>
      <c r="B153" s="42"/>
      <c r="C153" s="102"/>
      <c r="D153" s="26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</row>
    <row r="154" spans="1:19" ht="19.5" customHeight="1">
      <c r="A154" s="42"/>
      <c r="B154" s="42"/>
      <c r="C154" s="102"/>
      <c r="D154" s="26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</row>
    <row r="155" spans="1:19" ht="19.5" customHeight="1">
      <c r="A155" s="42"/>
      <c r="B155" s="42"/>
      <c r="C155" s="102"/>
      <c r="D155" s="26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</row>
    <row r="156" spans="1:19" ht="19.5" customHeight="1">
      <c r="A156" s="42"/>
      <c r="B156" s="42"/>
      <c r="C156" s="102"/>
      <c r="D156" s="26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</row>
    <row r="157" spans="1:19" ht="12.75">
      <c r="A157" s="49"/>
      <c r="B157" s="49"/>
      <c r="C157" s="106"/>
      <c r="D157" s="2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3" ht="15">
      <c r="A158" s="17"/>
      <c r="B158" s="17"/>
      <c r="C158" s="101"/>
    </row>
    <row r="159" spans="1:3" ht="18.75">
      <c r="A159" s="50"/>
      <c r="B159" s="50"/>
      <c r="C159" s="107"/>
    </row>
    <row r="160" spans="1:3" ht="18.75">
      <c r="A160" s="50"/>
      <c r="B160" s="50"/>
      <c r="C160" s="107"/>
    </row>
    <row r="161" spans="1:3" ht="18.75">
      <c r="A161" s="50"/>
      <c r="B161" s="50"/>
      <c r="C161" s="107"/>
    </row>
  </sheetData>
  <mergeCells count="2">
    <mergeCell ref="D14:H14"/>
    <mergeCell ref="D93:E93"/>
  </mergeCells>
  <printOptions/>
  <pageMargins left="0.23" right="0.16" top="0.84" bottom="0.5" header="0.11" footer="0.5"/>
  <pageSetup horizontalDpi="300" verticalDpi="300" orientation="landscape" paperSize="9" scale="95" r:id="rId2"/>
  <headerFooter alignWithMargins="0">
    <oddHeader>&amp;C&amp;"Tahoma,Bold Italic"&amp;16&amp;EDEPARTMENT OF JUSTICE AND CONSTITUTIONAL DEVELOPMENT&amp;"Arial,Regular"&amp;10&amp;E
&amp;"Tahoma,Italic"&amp;16Preliminary Accounts for the period ending 31 March 2003 - R '000&amp;"Arial,Regular"&amp;10
</oddHeader>
    <oddFooter>&amp;CPage &amp;P of &amp;N</oddFooter>
  </headerFooter>
  <rowBreaks count="4" manualBreakCount="4">
    <brk id="52" max="17" man="1"/>
    <brk id="78" max="255" man="1"/>
    <brk id="104" max="17" man="1"/>
    <brk id="130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6"/>
  <sheetViews>
    <sheetView tabSelected="1" view="pageBreakPreview" zoomScale="60" workbookViewId="0" topLeftCell="A1">
      <selection activeCell="R50" sqref="R50"/>
    </sheetView>
  </sheetViews>
  <sheetFormatPr defaultColWidth="9.140625" defaultRowHeight="12" customHeight="1"/>
  <cols>
    <col min="1" max="1" width="20.28125" style="44" customWidth="1"/>
    <col min="2" max="3" width="13.8515625" style="68" hidden="1" customWidth="1"/>
    <col min="4" max="4" width="13.8515625" style="69" hidden="1" customWidth="1"/>
    <col min="5" max="5" width="1.8515625" style="68" hidden="1" customWidth="1"/>
    <col min="6" max="7" width="13.8515625" style="68" hidden="1" customWidth="1"/>
    <col min="8" max="8" width="13.8515625" style="69" hidden="1" customWidth="1"/>
    <col min="9" max="9" width="2.00390625" style="64" hidden="1" customWidth="1"/>
    <col min="10" max="11" width="13.8515625" style="68" hidden="1" customWidth="1"/>
    <col min="12" max="12" width="13.8515625" style="69" hidden="1" customWidth="1"/>
    <col min="13" max="13" width="2.57421875" style="64" hidden="1" customWidth="1"/>
    <col min="14" max="14" width="12.421875" style="68" hidden="1" customWidth="1"/>
    <col min="15" max="15" width="12.28125" style="68" hidden="1" customWidth="1"/>
    <col min="16" max="16" width="12.7109375" style="69" hidden="1" customWidth="1"/>
    <col min="17" max="17" width="2.57421875" style="64" hidden="1" customWidth="1"/>
    <col min="18" max="18" width="13.421875" style="68" hidden="1" customWidth="1"/>
    <col min="19" max="19" width="13.8515625" style="68" hidden="1" customWidth="1"/>
    <col min="20" max="20" width="12.421875" style="69" hidden="1" customWidth="1"/>
    <col min="21" max="21" width="2.57421875" style="64" hidden="1" customWidth="1"/>
    <col min="22" max="22" width="13.28125" style="68" hidden="1" customWidth="1"/>
    <col min="23" max="23" width="13.8515625" style="68" hidden="1" customWidth="1"/>
    <col min="24" max="24" width="13.8515625" style="69" hidden="1" customWidth="1"/>
    <col min="25" max="25" width="2.57421875" style="64" hidden="1" customWidth="1"/>
    <col min="26" max="26" width="13.28125" style="68" hidden="1" customWidth="1"/>
    <col min="27" max="27" width="13.8515625" style="68" hidden="1" customWidth="1"/>
    <col min="28" max="28" width="13.8515625" style="69" hidden="1" customWidth="1"/>
    <col min="29" max="29" width="2.57421875" style="64" hidden="1" customWidth="1"/>
    <col min="30" max="30" width="13.28125" style="68" hidden="1" customWidth="1"/>
    <col min="31" max="31" width="13.8515625" style="68" hidden="1" customWidth="1"/>
    <col min="32" max="32" width="13.8515625" style="69" hidden="1" customWidth="1"/>
    <col min="33" max="33" width="2.57421875" style="64" hidden="1" customWidth="1"/>
    <col min="34" max="34" width="13.28125" style="68" hidden="1" customWidth="1"/>
    <col min="35" max="35" width="13.8515625" style="68" hidden="1" customWidth="1"/>
    <col min="36" max="36" width="13.8515625" style="69" hidden="1" customWidth="1"/>
    <col min="37" max="37" width="2.57421875" style="64" hidden="1" customWidth="1"/>
    <col min="38" max="38" width="13.28125" style="68" hidden="1" customWidth="1"/>
    <col min="39" max="39" width="13.8515625" style="68" hidden="1" customWidth="1"/>
    <col min="40" max="40" width="13.8515625" style="69" hidden="1" customWidth="1"/>
    <col min="41" max="41" width="2.57421875" style="64" hidden="1" customWidth="1"/>
    <col min="42" max="42" width="13.28125" style="68" customWidth="1"/>
    <col min="43" max="43" width="13.8515625" style="68" customWidth="1"/>
    <col min="44" max="44" width="13.8515625" style="69" customWidth="1"/>
    <col min="45" max="45" width="2.57421875" style="64" customWidth="1"/>
    <col min="46" max="46" width="13.28125" style="68" customWidth="1"/>
    <col min="47" max="47" width="13.8515625" style="68" customWidth="1"/>
    <col min="48" max="48" width="13.8515625" style="69" customWidth="1"/>
    <col min="49" max="49" width="2.57421875" style="64" customWidth="1"/>
    <col min="50" max="50" width="14.421875" style="68" customWidth="1"/>
    <col min="51" max="51" width="13.8515625" style="68" customWidth="1"/>
    <col min="52" max="52" width="13.8515625" style="69" customWidth="1"/>
    <col min="53" max="16384" width="9.140625" style="64" customWidth="1"/>
  </cols>
  <sheetData>
    <row r="1" spans="1:52" ht="8.25" customHeight="1">
      <c r="A1" s="64"/>
      <c r="B1" s="70"/>
      <c r="C1" s="70"/>
      <c r="D1" s="113"/>
      <c r="E1" s="70"/>
      <c r="F1" s="70"/>
      <c r="G1" s="70"/>
      <c r="H1" s="113"/>
      <c r="J1" s="70"/>
      <c r="K1" s="70"/>
      <c r="L1" s="113"/>
      <c r="N1" s="70"/>
      <c r="O1" s="70"/>
      <c r="P1" s="113"/>
      <c r="R1" s="70"/>
      <c r="S1" s="70"/>
      <c r="T1" s="113"/>
      <c r="V1" s="70"/>
      <c r="W1" s="70"/>
      <c r="X1" s="113"/>
      <c r="Z1" s="70"/>
      <c r="AA1" s="70"/>
      <c r="AB1" s="113"/>
      <c r="AD1" s="70"/>
      <c r="AE1" s="70"/>
      <c r="AF1" s="113"/>
      <c r="AH1" s="70"/>
      <c r="AI1" s="70"/>
      <c r="AJ1" s="113"/>
      <c r="AL1" s="70"/>
      <c r="AM1" s="70"/>
      <c r="AN1" s="113"/>
      <c r="AP1" s="70"/>
      <c r="AQ1" s="70"/>
      <c r="AR1" s="113"/>
      <c r="AT1" s="70"/>
      <c r="AU1" s="70"/>
      <c r="AV1" s="113"/>
      <c r="AX1" s="70"/>
      <c r="AY1" s="70"/>
      <c r="AZ1" s="113"/>
    </row>
    <row r="2" spans="1:52" ht="19.5" customHeight="1">
      <c r="A2" s="162" t="s">
        <v>102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64"/>
      <c r="AV2" s="64"/>
      <c r="AX2" s="64"/>
      <c r="AY2" s="64"/>
      <c r="AZ2" s="64"/>
    </row>
    <row r="3" spans="2:52" ht="16.5" customHeight="1">
      <c r="B3" s="161" t="s">
        <v>103</v>
      </c>
      <c r="C3" s="161"/>
      <c r="D3" s="161"/>
      <c r="E3" s="63"/>
      <c r="F3" s="161" t="s">
        <v>77</v>
      </c>
      <c r="G3" s="161"/>
      <c r="H3" s="161"/>
      <c r="J3" s="161" t="s">
        <v>78</v>
      </c>
      <c r="K3" s="161"/>
      <c r="L3" s="161"/>
      <c r="N3" s="161" t="s">
        <v>79</v>
      </c>
      <c r="O3" s="161"/>
      <c r="P3" s="161"/>
      <c r="R3" s="161" t="s">
        <v>80</v>
      </c>
      <c r="S3" s="161"/>
      <c r="T3" s="161"/>
      <c r="V3" s="161" t="s">
        <v>81</v>
      </c>
      <c r="W3" s="161"/>
      <c r="X3" s="161"/>
      <c r="Z3" s="161" t="s">
        <v>82</v>
      </c>
      <c r="AA3" s="161"/>
      <c r="AB3" s="161"/>
      <c r="AD3" s="161" t="s">
        <v>83</v>
      </c>
      <c r="AE3" s="161"/>
      <c r="AF3" s="161"/>
      <c r="AH3" s="161" t="s">
        <v>84</v>
      </c>
      <c r="AI3" s="161"/>
      <c r="AJ3" s="161"/>
      <c r="AL3" s="161" t="s">
        <v>85</v>
      </c>
      <c r="AM3" s="161"/>
      <c r="AN3" s="161"/>
      <c r="AP3" s="161" t="s">
        <v>86</v>
      </c>
      <c r="AQ3" s="161"/>
      <c r="AR3" s="161"/>
      <c r="AT3" s="161" t="s">
        <v>137</v>
      </c>
      <c r="AU3" s="161"/>
      <c r="AV3" s="161"/>
      <c r="AX3" s="163" t="s">
        <v>25</v>
      </c>
      <c r="AY3" s="161"/>
      <c r="AZ3" s="161"/>
    </row>
    <row r="4" spans="1:52" s="65" customFormat="1" ht="15" customHeight="1">
      <c r="A4" s="56"/>
      <c r="B4" s="123" t="s">
        <v>3</v>
      </c>
      <c r="C4" s="123" t="s">
        <v>37</v>
      </c>
      <c r="D4" s="123" t="s">
        <v>28</v>
      </c>
      <c r="E4" s="69"/>
      <c r="F4" s="123" t="s">
        <v>3</v>
      </c>
      <c r="G4" s="123" t="s">
        <v>37</v>
      </c>
      <c r="H4" s="123" t="s">
        <v>28</v>
      </c>
      <c r="J4" s="123" t="s">
        <v>3</v>
      </c>
      <c r="K4" s="123" t="s">
        <v>37</v>
      </c>
      <c r="L4" s="123" t="s">
        <v>28</v>
      </c>
      <c r="N4" s="123" t="s">
        <v>3</v>
      </c>
      <c r="O4" s="123" t="s">
        <v>37</v>
      </c>
      <c r="P4" s="123" t="s">
        <v>28</v>
      </c>
      <c r="R4" s="123" t="s">
        <v>3</v>
      </c>
      <c r="S4" s="123" t="s">
        <v>37</v>
      </c>
      <c r="T4" s="123" t="s">
        <v>28</v>
      </c>
      <c r="V4" s="123" t="s">
        <v>3</v>
      </c>
      <c r="W4" s="123" t="s">
        <v>37</v>
      </c>
      <c r="X4" s="123" t="s">
        <v>28</v>
      </c>
      <c r="Z4" s="123" t="s">
        <v>3</v>
      </c>
      <c r="AA4" s="123" t="s">
        <v>37</v>
      </c>
      <c r="AB4" s="123" t="s">
        <v>28</v>
      </c>
      <c r="AD4" s="123" t="s">
        <v>3</v>
      </c>
      <c r="AE4" s="123" t="s">
        <v>37</v>
      </c>
      <c r="AF4" s="123" t="s">
        <v>28</v>
      </c>
      <c r="AH4" s="123" t="s">
        <v>3</v>
      </c>
      <c r="AI4" s="123" t="s">
        <v>37</v>
      </c>
      <c r="AJ4" s="123" t="s">
        <v>28</v>
      </c>
      <c r="AL4" s="123" t="s">
        <v>3</v>
      </c>
      <c r="AM4" s="123" t="s">
        <v>37</v>
      </c>
      <c r="AN4" s="123" t="s">
        <v>28</v>
      </c>
      <c r="AP4" s="123" t="s">
        <v>3</v>
      </c>
      <c r="AQ4" s="123" t="s">
        <v>37</v>
      </c>
      <c r="AR4" s="123" t="s">
        <v>28</v>
      </c>
      <c r="AT4" s="123" t="s">
        <v>3</v>
      </c>
      <c r="AU4" s="123" t="s">
        <v>37</v>
      </c>
      <c r="AV4" s="123" t="s">
        <v>28</v>
      </c>
      <c r="AX4" s="123" t="s">
        <v>3</v>
      </c>
      <c r="AY4" s="123" t="s">
        <v>37</v>
      </c>
      <c r="AZ4" s="123" t="s">
        <v>28</v>
      </c>
    </row>
    <row r="5" spans="1:52" s="65" customFormat="1" ht="15" customHeight="1">
      <c r="A5" s="56"/>
      <c r="B5" s="124" t="s">
        <v>76</v>
      </c>
      <c r="C5" s="123" t="s">
        <v>105</v>
      </c>
      <c r="D5" s="69"/>
      <c r="E5" s="69"/>
      <c r="F5" s="124" t="s">
        <v>106</v>
      </c>
      <c r="G5" s="123" t="s">
        <v>105</v>
      </c>
      <c r="H5" s="69"/>
      <c r="J5" s="124" t="s">
        <v>107</v>
      </c>
      <c r="K5" s="123" t="s">
        <v>105</v>
      </c>
      <c r="L5" s="69"/>
      <c r="N5" s="124" t="s">
        <v>116</v>
      </c>
      <c r="O5" s="123" t="s">
        <v>105</v>
      </c>
      <c r="P5" s="69"/>
      <c r="R5" s="124" t="s">
        <v>122</v>
      </c>
      <c r="S5" s="123" t="s">
        <v>105</v>
      </c>
      <c r="T5" s="69"/>
      <c r="V5" s="124" t="s">
        <v>123</v>
      </c>
      <c r="W5" s="123" t="s">
        <v>105</v>
      </c>
      <c r="X5" s="69"/>
      <c r="Z5" s="124" t="s">
        <v>127</v>
      </c>
      <c r="AA5" s="123" t="s">
        <v>105</v>
      </c>
      <c r="AB5" s="69"/>
      <c r="AD5" s="124" t="s">
        <v>128</v>
      </c>
      <c r="AE5" s="123" t="s">
        <v>105</v>
      </c>
      <c r="AF5" s="69"/>
      <c r="AH5" s="124" t="s">
        <v>130</v>
      </c>
      <c r="AI5" s="123" t="s">
        <v>105</v>
      </c>
      <c r="AJ5" s="69"/>
      <c r="AL5" s="124" t="s">
        <v>134</v>
      </c>
      <c r="AM5" s="123" t="s">
        <v>105</v>
      </c>
      <c r="AN5" s="69"/>
      <c r="AP5" s="124" t="s">
        <v>135</v>
      </c>
      <c r="AQ5" s="123" t="s">
        <v>105</v>
      </c>
      <c r="AR5" s="69"/>
      <c r="AT5" s="124" t="s">
        <v>149</v>
      </c>
      <c r="AU5" s="123" t="s">
        <v>105</v>
      </c>
      <c r="AV5" s="69"/>
      <c r="AX5" s="123" t="s">
        <v>25</v>
      </c>
      <c r="AY5" s="123" t="s">
        <v>105</v>
      </c>
      <c r="AZ5" s="69"/>
    </row>
    <row r="6" spans="1:52" s="65" customFormat="1" ht="15" customHeight="1">
      <c r="A6" s="56"/>
      <c r="B6" s="71"/>
      <c r="C6" s="123" t="s">
        <v>27</v>
      </c>
      <c r="D6" s="69"/>
      <c r="E6" s="69"/>
      <c r="F6" s="71"/>
      <c r="G6" s="123" t="s">
        <v>27</v>
      </c>
      <c r="H6" s="69"/>
      <c r="J6" s="71"/>
      <c r="K6" s="123" t="s">
        <v>27</v>
      </c>
      <c r="L6" s="69"/>
      <c r="N6" s="71"/>
      <c r="O6" s="123" t="s">
        <v>27</v>
      </c>
      <c r="P6" s="69"/>
      <c r="R6" s="71"/>
      <c r="S6" s="123" t="s">
        <v>27</v>
      </c>
      <c r="T6" s="69"/>
      <c r="V6" s="71"/>
      <c r="W6" s="123" t="s">
        <v>27</v>
      </c>
      <c r="X6" s="69"/>
      <c r="Z6" s="71"/>
      <c r="AA6" s="123" t="s">
        <v>27</v>
      </c>
      <c r="AB6" s="69"/>
      <c r="AD6" s="71"/>
      <c r="AE6" s="123" t="s">
        <v>27</v>
      </c>
      <c r="AF6" s="69"/>
      <c r="AH6" s="71"/>
      <c r="AI6" s="123" t="s">
        <v>27</v>
      </c>
      <c r="AJ6" s="69"/>
      <c r="AL6" s="71"/>
      <c r="AM6" s="123" t="s">
        <v>27</v>
      </c>
      <c r="AN6" s="69"/>
      <c r="AP6" s="71"/>
      <c r="AQ6" s="123" t="s">
        <v>27</v>
      </c>
      <c r="AR6" s="69"/>
      <c r="AT6" s="71"/>
      <c r="AU6" s="123" t="s">
        <v>27</v>
      </c>
      <c r="AV6" s="69"/>
      <c r="AX6" s="42"/>
      <c r="AY6" s="123" t="s">
        <v>27</v>
      </c>
      <c r="AZ6" s="69"/>
    </row>
    <row r="7" spans="1:52" s="65" customFormat="1" ht="15" customHeight="1">
      <c r="A7" s="56"/>
      <c r="B7" s="71"/>
      <c r="C7" s="69"/>
      <c r="D7" s="69"/>
      <c r="E7" s="69"/>
      <c r="F7" s="71"/>
      <c r="G7" s="69"/>
      <c r="H7" s="125"/>
      <c r="J7" s="71"/>
      <c r="K7" s="69"/>
      <c r="L7" s="125"/>
      <c r="N7" s="71"/>
      <c r="O7" s="69"/>
      <c r="P7" s="125"/>
      <c r="R7" s="71"/>
      <c r="S7" s="69"/>
      <c r="T7" s="125"/>
      <c r="V7" s="71"/>
      <c r="W7" s="69"/>
      <c r="X7" s="125"/>
      <c r="Z7" s="71"/>
      <c r="AA7" s="69"/>
      <c r="AB7" s="125"/>
      <c r="AD7" s="71"/>
      <c r="AE7" s="69"/>
      <c r="AF7" s="125"/>
      <c r="AH7" s="71"/>
      <c r="AI7" s="69"/>
      <c r="AJ7" s="125"/>
      <c r="AL7" s="71"/>
      <c r="AM7" s="69"/>
      <c r="AN7" s="125"/>
      <c r="AP7" s="71"/>
      <c r="AQ7" s="69"/>
      <c r="AR7" s="69"/>
      <c r="AT7" s="71"/>
      <c r="AU7" s="69"/>
      <c r="AV7" s="69"/>
      <c r="AX7" s="71"/>
      <c r="AY7" s="69"/>
      <c r="AZ7" s="125"/>
    </row>
    <row r="8" spans="1:52" ht="12.75" customHeight="1">
      <c r="A8" s="44" t="s">
        <v>32</v>
      </c>
      <c r="B8" s="115">
        <v>153848</v>
      </c>
      <c r="C8" s="116">
        <v>116174</v>
      </c>
      <c r="D8" s="117">
        <f>+C8-B8</f>
        <v>-37674</v>
      </c>
      <c r="E8" s="70"/>
      <c r="F8" s="115">
        <v>117323</v>
      </c>
      <c r="G8" s="116">
        <v>116174</v>
      </c>
      <c r="H8" s="119">
        <f>+G8-F8</f>
        <v>-1149</v>
      </c>
      <c r="J8" s="115">
        <f>313+13720+116359-72+33398</f>
        <v>163718</v>
      </c>
      <c r="K8" s="116">
        <v>116174</v>
      </c>
      <c r="L8" s="119">
        <f>+K8-J8</f>
        <v>-47544</v>
      </c>
      <c r="N8" s="115">
        <v>139349</v>
      </c>
      <c r="O8" s="116">
        <v>116174</v>
      </c>
      <c r="P8" s="119">
        <f>+O8-N8</f>
        <v>-23175</v>
      </c>
      <c r="R8" s="115">
        <v>135289</v>
      </c>
      <c r="S8" s="116">
        <v>116174</v>
      </c>
      <c r="T8" s="119">
        <f>+S8-R8</f>
        <v>-19115</v>
      </c>
      <c r="V8" s="115">
        <v>195106</v>
      </c>
      <c r="W8" s="116">
        <v>116174</v>
      </c>
      <c r="X8" s="119">
        <f>+W8-V8</f>
        <v>-78932</v>
      </c>
      <c r="Z8" s="115">
        <v>154808</v>
      </c>
      <c r="AA8" s="116">
        <v>116174</v>
      </c>
      <c r="AB8" s="119">
        <f>+AA8-Z8</f>
        <v>-38634</v>
      </c>
      <c r="AD8" s="115">
        <v>146189</v>
      </c>
      <c r="AE8" s="116">
        <f>10193+113463+803+22755</f>
        <v>147214</v>
      </c>
      <c r="AF8" s="119">
        <f>+AE8-AD8</f>
        <v>1025</v>
      </c>
      <c r="AH8" s="115">
        <f>+'Sub-Prog'!M11+'Sub-Prog'!M21+'Sub-Prog'!M33+'Sub-Prog'!M56+'Sub-Prog'!M75+'Sub-Prog'!M87+'Sub-Prog'!M98</f>
        <v>156120</v>
      </c>
      <c r="AI8" s="116">
        <f>10193+113463+803+22755</f>
        <v>147214</v>
      </c>
      <c r="AJ8" s="119">
        <f>+AI8-AH8</f>
        <v>-8906</v>
      </c>
      <c r="AL8" s="115">
        <f>+'Sub-Prog'!N11+'Sub-Prog'!N21+'Sub-Prog'!N33+'Sub-Prog'!N56+'Sub-Prog'!N75+'Sub-Prog'!N87+'Sub-Prog'!N98</f>
        <v>207140</v>
      </c>
      <c r="AM8" s="116">
        <f>10193+113463+803+22755</f>
        <v>147214</v>
      </c>
      <c r="AN8" s="119">
        <f>+AM8-AL8</f>
        <v>-59926</v>
      </c>
      <c r="AP8" s="115">
        <f>+'Sub-Prog'!O11+'Sub-Prog'!O21+'Sub-Prog'!O33+'Sub-Prog'!O56+'Sub-Prog'!O75+'Sub-Prog'!O87+'Sub-Prog'!O98+'Sub-Prog'!O104</f>
        <v>150685</v>
      </c>
      <c r="AQ8" s="116">
        <f>+'Sub-Prog'!S11+'Sub-Prog'!S21+'Sub-Prog'!S33+'Sub-Prog'!S56+'Sub-Prog'!S75+'Sub-Prog'!S87+'Sub-Prog'!S98+'Sub-Prog'!S104</f>
        <v>148757.91666666666</v>
      </c>
      <c r="AR8" s="117">
        <f>+AQ8-AP8</f>
        <v>-1927.083333333343</v>
      </c>
      <c r="AT8" s="115">
        <f>+'Sub-Prog'!P11+'Sub-Prog'!P21+'Sub-Prog'!P33+'Sub-Prog'!P56+'Sub-Prog'!P75+'Sub-Prog'!P87+'Sub-Prog'!P98+'Sub-Prog'!P104</f>
        <v>300531</v>
      </c>
      <c r="AU8" s="116">
        <f>+'Sub-Prog'!S11+'Sub-Prog'!S21+'Sub-Prog'!S33+'Sub-Prog'!S56+'Sub-Prog'!S75+'Sub-Prog'!S87+'Sub-Prog'!S98+'Sub-Prog'!S104</f>
        <v>148757.91666666666</v>
      </c>
      <c r="AV8" s="117">
        <f>+AU8-AT8</f>
        <v>-151773.08333333334</v>
      </c>
      <c r="AX8" s="115">
        <f>+'Sub-Prog'!A11+'Sub-Prog'!A21+'Sub-Prog'!A33+'Sub-Prog'!A56+'Sub-Prog'!A75+'Sub-Prog'!A87+'Sub-Prog'!A98+'Sub-Prog'!A104+20</f>
        <v>2040647</v>
      </c>
      <c r="AY8" s="116">
        <f>+AU8*12+12</f>
        <v>1785107</v>
      </c>
      <c r="AZ8" s="119">
        <f>+AY8-AX8</f>
        <v>-255540</v>
      </c>
    </row>
    <row r="9" spans="2:52" ht="12.75" customHeight="1">
      <c r="B9" s="118"/>
      <c r="C9" s="70"/>
      <c r="D9" s="119"/>
      <c r="E9" s="70"/>
      <c r="F9" s="118"/>
      <c r="G9" s="70"/>
      <c r="H9" s="119"/>
      <c r="J9" s="118"/>
      <c r="K9" s="70"/>
      <c r="L9" s="119"/>
      <c r="N9" s="118"/>
      <c r="O9" s="70"/>
      <c r="P9" s="119"/>
      <c r="R9" s="118"/>
      <c r="S9" s="70"/>
      <c r="T9" s="119"/>
      <c r="V9" s="118"/>
      <c r="W9" s="70"/>
      <c r="X9" s="119"/>
      <c r="Z9" s="118"/>
      <c r="AA9" s="70"/>
      <c r="AB9" s="119"/>
      <c r="AD9" s="118"/>
      <c r="AE9" s="70"/>
      <c r="AF9" s="119"/>
      <c r="AH9" s="118"/>
      <c r="AI9" s="70"/>
      <c r="AJ9" s="119"/>
      <c r="AL9" s="118"/>
      <c r="AM9" s="70"/>
      <c r="AN9" s="119"/>
      <c r="AP9" s="118"/>
      <c r="AQ9" s="70"/>
      <c r="AR9" s="119"/>
      <c r="AT9" s="118"/>
      <c r="AU9" s="70"/>
      <c r="AV9" s="119"/>
      <c r="AX9" s="118"/>
      <c r="AY9" s="70"/>
      <c r="AZ9" s="119"/>
    </row>
    <row r="10" spans="1:52" ht="12.75" customHeight="1">
      <c r="A10" s="64" t="s">
        <v>75</v>
      </c>
      <c r="B10" s="118">
        <v>5328</v>
      </c>
      <c r="C10" s="70">
        <v>5739</v>
      </c>
      <c r="D10" s="119">
        <f>+C10-B10</f>
        <v>411</v>
      </c>
      <c r="E10" s="70"/>
      <c r="F10" s="118">
        <v>4468</v>
      </c>
      <c r="G10" s="70">
        <v>5739</v>
      </c>
      <c r="H10" s="119">
        <f>+G10-F10</f>
        <v>1271</v>
      </c>
      <c r="J10" s="118">
        <f>106+2+4131</f>
        <v>4239</v>
      </c>
      <c r="K10" s="70">
        <v>5739</v>
      </c>
      <c r="L10" s="119">
        <f>+K10-J10</f>
        <v>1500</v>
      </c>
      <c r="N10" s="118">
        <v>5303</v>
      </c>
      <c r="O10" s="70">
        <v>5739</v>
      </c>
      <c r="P10" s="119">
        <f>+O10-N10</f>
        <v>436</v>
      </c>
      <c r="R10" s="118">
        <v>4930</v>
      </c>
      <c r="S10" s="70">
        <v>5739</v>
      </c>
      <c r="T10" s="119">
        <f>+S10-R10</f>
        <v>809</v>
      </c>
      <c r="V10" s="118">
        <v>4865</v>
      </c>
      <c r="W10" s="70">
        <v>5739</v>
      </c>
      <c r="X10" s="119">
        <f>+W10-V10</f>
        <v>874</v>
      </c>
      <c r="Z10" s="118">
        <v>5006</v>
      </c>
      <c r="AA10" s="70">
        <v>5739</v>
      </c>
      <c r="AB10" s="119">
        <f>+AA10-Z10</f>
        <v>733</v>
      </c>
      <c r="AD10" s="118">
        <v>5198</v>
      </c>
      <c r="AE10" s="70">
        <f>476+5263</f>
        <v>5739</v>
      </c>
      <c r="AF10" s="119">
        <f>+AE10-AD10</f>
        <v>541</v>
      </c>
      <c r="AH10" s="118">
        <f>+'Sub-Prog'!M8+'Sub-Prog'!M34+'Sub-Prog'!M57+'Sub-Prog'!M76</f>
        <v>4780</v>
      </c>
      <c r="AI10" s="70">
        <f>476+5263</f>
        <v>5739</v>
      </c>
      <c r="AJ10" s="119">
        <f>+AI10-AH10</f>
        <v>959</v>
      </c>
      <c r="AL10" s="118">
        <f>+'Sub-Prog'!N8+'Sub-Prog'!N34+'Sub-Prog'!N57+'Sub-Prog'!N76</f>
        <v>5010</v>
      </c>
      <c r="AM10" s="70">
        <f>476+5263</f>
        <v>5739</v>
      </c>
      <c r="AN10" s="119">
        <f>+AM10-AL10</f>
        <v>729</v>
      </c>
      <c r="AP10" s="118">
        <f>+'Sub-Prog'!O8+'Sub-Prog'!O34+'Sub-Prog'!O57+'Sub-Prog'!O76</f>
        <v>6693</v>
      </c>
      <c r="AQ10" s="70">
        <f>+'Sub-Prog'!S8+'Sub-Prog'!S34+'Sub-Prog'!S57+'Sub-Prog'!S76</f>
        <v>5993.333333333333</v>
      </c>
      <c r="AR10" s="119">
        <f>+AQ10-AP10</f>
        <v>-699.666666666667</v>
      </c>
      <c r="AT10" s="118">
        <f>+'Sub-Prog'!P8+'Sub-Prog'!P34+'Sub-Prog'!P57+'Sub-Prog'!P76</f>
        <v>7522</v>
      </c>
      <c r="AU10" s="70">
        <f>+'Sub-Prog'!S8+'Sub-Prog'!S34+'Sub-Prog'!S57+'Sub-Prog'!S76</f>
        <v>5993.333333333333</v>
      </c>
      <c r="AV10" s="119">
        <f>+AU10-AT10</f>
        <v>-1528.666666666667</v>
      </c>
      <c r="AX10" s="118">
        <f>+'Sub-Prog'!A8+'Sub-Prog'!A34+'Sub-Prog'!A57+'Sub-Prog'!A76</f>
        <v>63342</v>
      </c>
      <c r="AY10" s="70">
        <f aca="true" t="shared" si="0" ref="AY10:AY34">+AU10*12</f>
        <v>71920</v>
      </c>
      <c r="AZ10" s="119">
        <f>+AY10-AX10</f>
        <v>8578</v>
      </c>
    </row>
    <row r="11" spans="1:52" ht="12.75" customHeight="1">
      <c r="A11" s="64"/>
      <c r="B11" s="118"/>
      <c r="C11" s="70"/>
      <c r="D11" s="119"/>
      <c r="E11" s="70"/>
      <c r="F11" s="118"/>
      <c r="G11" s="70"/>
      <c r="H11" s="119"/>
      <c r="J11" s="118"/>
      <c r="K11" s="70"/>
      <c r="L11" s="119"/>
      <c r="N11" s="118"/>
      <c r="O11" s="70"/>
      <c r="P11" s="119"/>
      <c r="R11" s="118"/>
      <c r="S11" s="70"/>
      <c r="T11" s="119"/>
      <c r="V11" s="118"/>
      <c r="W11" s="70"/>
      <c r="X11" s="119"/>
      <c r="Z11" s="118"/>
      <c r="AA11" s="70"/>
      <c r="AB11" s="119"/>
      <c r="AD11" s="118"/>
      <c r="AE11" s="70"/>
      <c r="AF11" s="119"/>
      <c r="AH11" s="118"/>
      <c r="AI11" s="70"/>
      <c r="AJ11" s="119"/>
      <c r="AL11" s="118"/>
      <c r="AM11" s="70"/>
      <c r="AN11" s="119"/>
      <c r="AP11" s="118"/>
      <c r="AQ11" s="70"/>
      <c r="AR11" s="119"/>
      <c r="AT11" s="118"/>
      <c r="AU11" s="70"/>
      <c r="AV11" s="119"/>
      <c r="AX11" s="118"/>
      <c r="AY11" s="70"/>
      <c r="AZ11" s="119"/>
    </row>
    <row r="12" spans="1:52" ht="12.75" customHeight="1">
      <c r="A12" s="44" t="s">
        <v>74</v>
      </c>
      <c r="B12" s="118">
        <v>10039</v>
      </c>
      <c r="C12" s="70">
        <v>8805</v>
      </c>
      <c r="D12" s="119">
        <f>+C12-B12</f>
        <v>-1234</v>
      </c>
      <c r="E12" s="70"/>
      <c r="F12" s="118">
        <v>9442</v>
      </c>
      <c r="G12" s="70">
        <v>8805</v>
      </c>
      <c r="H12" s="119">
        <f>+G12-F12</f>
        <v>-637</v>
      </c>
      <c r="J12" s="118">
        <f>274+2457+1+6444+59</f>
        <v>9235</v>
      </c>
      <c r="K12" s="70">
        <v>8805</v>
      </c>
      <c r="L12" s="119">
        <f>+K12-J12</f>
        <v>-430</v>
      </c>
      <c r="N12" s="118">
        <v>9042</v>
      </c>
      <c r="O12" s="70">
        <v>8805</v>
      </c>
      <c r="P12" s="119">
        <f>+O12-N12</f>
        <v>-237</v>
      </c>
      <c r="R12" s="118">
        <v>10714</v>
      </c>
      <c r="S12" s="70">
        <v>8805</v>
      </c>
      <c r="T12" s="119">
        <f>+S12-R12</f>
        <v>-1909</v>
      </c>
      <c r="V12" s="118">
        <v>9477</v>
      </c>
      <c r="W12" s="70">
        <v>8805</v>
      </c>
      <c r="X12" s="119">
        <f>+W12-V12</f>
        <v>-672</v>
      </c>
      <c r="Z12" s="118">
        <v>9311</v>
      </c>
      <c r="AA12" s="70">
        <v>8805</v>
      </c>
      <c r="AB12" s="119">
        <f>+AA12-Z12</f>
        <v>-506</v>
      </c>
      <c r="AD12" s="118">
        <v>8565</v>
      </c>
      <c r="AE12" s="70">
        <f>791+7945</f>
        <v>8736</v>
      </c>
      <c r="AF12" s="119">
        <f>+AE12-AD12</f>
        <v>171</v>
      </c>
      <c r="AH12" s="118">
        <f>+'Sub-Prog'!M10+'Sub-Prog'!M32+'Sub-Prog'!M54+'Sub-Prog'!M74+'Sub-Prog'!M100</f>
        <v>8388</v>
      </c>
      <c r="AI12" s="70">
        <f>791+7945</f>
        <v>8736</v>
      </c>
      <c r="AJ12" s="119">
        <f>+AI12-AH12</f>
        <v>348</v>
      </c>
      <c r="AL12" s="118">
        <f>+'Sub-Prog'!N10+'Sub-Prog'!N32+'Sub-Prog'!N54+'Sub-Prog'!N74+'Sub-Prog'!N100</f>
        <v>5926</v>
      </c>
      <c r="AM12" s="70">
        <f>791+7945</f>
        <v>8736</v>
      </c>
      <c r="AN12" s="119">
        <f>+AM12-AL12</f>
        <v>2810</v>
      </c>
      <c r="AP12" s="118">
        <f>+'Sub-Prog'!O10+'Sub-Prog'!O32+'Sub-Prog'!O54+'Sub-Prog'!O74+'Sub-Prog'!O100</f>
        <v>19974</v>
      </c>
      <c r="AQ12" s="70">
        <f>+'Sub-Prog'!S10+'Sub-Prog'!S32+'Sub-Prog'!S54+'Sub-Prog'!S74+'Sub-Prog'!S100</f>
        <v>9109.75</v>
      </c>
      <c r="AR12" s="119">
        <f>+AQ12-AP12</f>
        <v>-10864.25</v>
      </c>
      <c r="AT12" s="118">
        <f>+'Sub-Prog'!P10+'Sub-Prog'!P32+'Sub-Prog'!P54+'Sub-Prog'!P74+'Sub-Prog'!P100</f>
        <v>2487</v>
      </c>
      <c r="AU12" s="70">
        <f>+'Sub-Prog'!S10+'Sub-Prog'!S32+'Sub-Prog'!S54+'Sub-Prog'!S74+'Sub-Prog'!S100</f>
        <v>9109.75</v>
      </c>
      <c r="AV12" s="119">
        <f>+AU12-AT12</f>
        <v>6622.75</v>
      </c>
      <c r="AX12" s="118">
        <f>+'Sub-Prog'!A10+'Sub-Prog'!A32+'Sub-Prog'!A54+'Sub-Prog'!A74+'Sub-Prog'!A100</f>
        <v>112602</v>
      </c>
      <c r="AY12" s="70">
        <f t="shared" si="0"/>
        <v>109317</v>
      </c>
      <c r="AZ12" s="119">
        <f>+AY12-AX12</f>
        <v>-3285</v>
      </c>
    </row>
    <row r="13" spans="2:52" ht="12.75" customHeight="1">
      <c r="B13" s="118"/>
      <c r="C13" s="70"/>
      <c r="D13" s="119"/>
      <c r="E13" s="70"/>
      <c r="F13" s="118"/>
      <c r="G13" s="70"/>
      <c r="H13" s="119"/>
      <c r="J13" s="118"/>
      <c r="K13" s="70"/>
      <c r="L13" s="119"/>
      <c r="N13" s="118"/>
      <c r="O13" s="70"/>
      <c r="P13" s="119"/>
      <c r="R13" s="118"/>
      <c r="S13" s="70"/>
      <c r="T13" s="119"/>
      <c r="V13" s="118"/>
      <c r="W13" s="70"/>
      <c r="X13" s="119"/>
      <c r="Z13" s="118"/>
      <c r="AA13" s="70"/>
      <c r="AB13" s="119"/>
      <c r="AD13" s="118"/>
      <c r="AE13" s="70"/>
      <c r="AF13" s="119"/>
      <c r="AH13" s="118"/>
      <c r="AI13" s="70"/>
      <c r="AJ13" s="119"/>
      <c r="AL13" s="118"/>
      <c r="AM13" s="70"/>
      <c r="AN13" s="119"/>
      <c r="AP13" s="118"/>
      <c r="AQ13" s="70"/>
      <c r="AR13" s="119"/>
      <c r="AT13" s="118"/>
      <c r="AU13" s="70"/>
      <c r="AV13" s="119"/>
      <c r="AX13" s="118"/>
      <c r="AY13" s="70"/>
      <c r="AZ13" s="119"/>
    </row>
    <row r="14" spans="1:52" ht="12.75" customHeight="1">
      <c r="A14" s="44" t="s">
        <v>144</v>
      </c>
      <c r="B14" s="118">
        <v>1240</v>
      </c>
      <c r="C14" s="70">
        <v>2038</v>
      </c>
      <c r="D14" s="119">
        <f>+C14-B14</f>
        <v>798</v>
      </c>
      <c r="E14" s="70"/>
      <c r="F14" s="118">
        <v>1285</v>
      </c>
      <c r="G14" s="70">
        <v>2038</v>
      </c>
      <c r="H14" s="119">
        <f>+G14-F14</f>
        <v>753</v>
      </c>
      <c r="J14" s="118">
        <f>697+742</f>
        <v>1439</v>
      </c>
      <c r="K14" s="70">
        <v>2038</v>
      </c>
      <c r="L14" s="119">
        <f>+K14-J14</f>
        <v>599</v>
      </c>
      <c r="N14" s="118">
        <v>1873</v>
      </c>
      <c r="O14" s="70">
        <v>2038</v>
      </c>
      <c r="P14" s="119">
        <f>+O14-N14</f>
        <v>165</v>
      </c>
      <c r="R14" s="118">
        <v>1724</v>
      </c>
      <c r="S14" s="70">
        <v>2038</v>
      </c>
      <c r="T14" s="119">
        <f>+S14-R14</f>
        <v>314</v>
      </c>
      <c r="V14" s="118">
        <v>1436</v>
      </c>
      <c r="W14" s="70">
        <v>2038</v>
      </c>
      <c r="X14" s="119">
        <f>+W14-V14</f>
        <v>602</v>
      </c>
      <c r="Z14" s="118">
        <v>1498</v>
      </c>
      <c r="AA14" s="70">
        <v>2038</v>
      </c>
      <c r="AB14" s="119">
        <f>+AA14-Z14</f>
        <v>540</v>
      </c>
      <c r="AD14" s="118">
        <v>1404</v>
      </c>
      <c r="AE14" s="70">
        <f>769+417+852</f>
        <v>2038</v>
      </c>
      <c r="AF14" s="119">
        <f>+AE14-AD14</f>
        <v>634</v>
      </c>
      <c r="AH14" s="118">
        <f>+'Sub-Prog'!M31+'Sub-Prog'!M55+'Sub-Prog'!M73+'Sub-Prog'!M101</f>
        <v>1642</v>
      </c>
      <c r="AI14" s="70">
        <f>769+417+852</f>
        <v>2038</v>
      </c>
      <c r="AJ14" s="119">
        <f>+AI14-AH14</f>
        <v>396</v>
      </c>
      <c r="AL14" s="118">
        <f>+'Sub-Prog'!N31+'Sub-Prog'!N55+'Sub-Prog'!N73+'Sub-Prog'!N101</f>
        <v>1378</v>
      </c>
      <c r="AM14" s="70">
        <f>769+417+852</f>
        <v>2038</v>
      </c>
      <c r="AN14" s="119">
        <f>+AM14-AL14</f>
        <v>660</v>
      </c>
      <c r="AP14" s="118">
        <f>+'Sub-Prog'!O31+'Sub-Prog'!O55+'Sub-Prog'!O73+'Sub-Prog'!O101</f>
        <v>1532</v>
      </c>
      <c r="AQ14" s="70">
        <f>+'Sub-Prog'!S31+'Sub-Prog'!S55+'Sub-Prog'!S73+'Sub-Prog'!S101</f>
        <v>1692.5833333333333</v>
      </c>
      <c r="AR14" s="119">
        <f>+AQ14-AP14</f>
        <v>160.58333333333326</v>
      </c>
      <c r="AT14" s="118">
        <f>+'Sub-Prog'!P31+'Sub-Prog'!P55+'Sub-Prog'!P73+'Sub-Prog'!P101</f>
        <v>1906</v>
      </c>
      <c r="AU14" s="70">
        <f>+'Sub-Prog'!S31+'Sub-Prog'!S55+'Sub-Prog'!S73+'Sub-Prog'!S101</f>
        <v>1692.5833333333333</v>
      </c>
      <c r="AV14" s="119">
        <f>+AU14-AT14</f>
        <v>-213.41666666666674</v>
      </c>
      <c r="AX14" s="118">
        <f>+'Sub-Prog'!A31+'Sub-Prog'!A55+'Sub-Prog'!A73+'Sub-Prog'!A101</f>
        <v>18358</v>
      </c>
      <c r="AY14" s="70">
        <f t="shared" si="0"/>
        <v>20311</v>
      </c>
      <c r="AZ14" s="119">
        <f>+AY14-AX14</f>
        <v>1953</v>
      </c>
    </row>
    <row r="15" spans="2:52" ht="12.75" customHeight="1">
      <c r="B15" s="118"/>
      <c r="C15" s="70"/>
      <c r="D15" s="119"/>
      <c r="E15" s="70"/>
      <c r="F15" s="118"/>
      <c r="G15" s="70"/>
      <c r="H15" s="119"/>
      <c r="J15" s="118"/>
      <c r="K15" s="70"/>
      <c r="L15" s="119"/>
      <c r="N15" s="118"/>
      <c r="O15" s="70"/>
      <c r="P15" s="119"/>
      <c r="R15" s="118"/>
      <c r="S15" s="70"/>
      <c r="T15" s="119"/>
      <c r="V15" s="118"/>
      <c r="W15" s="70"/>
      <c r="X15" s="119"/>
      <c r="Z15" s="118"/>
      <c r="AA15" s="70"/>
      <c r="AB15" s="119"/>
      <c r="AD15" s="118"/>
      <c r="AE15" s="70"/>
      <c r="AF15" s="119"/>
      <c r="AH15" s="118"/>
      <c r="AI15" s="70"/>
      <c r="AJ15" s="119"/>
      <c r="AL15" s="118"/>
      <c r="AM15" s="70"/>
      <c r="AN15" s="119"/>
      <c r="AP15" s="118"/>
      <c r="AQ15" s="70"/>
      <c r="AR15" s="119"/>
      <c r="AT15" s="118"/>
      <c r="AU15" s="70"/>
      <c r="AV15" s="119"/>
      <c r="AX15" s="118"/>
      <c r="AY15" s="70"/>
      <c r="AZ15" s="119"/>
    </row>
    <row r="16" spans="1:52" ht="12.75" customHeight="1">
      <c r="A16" s="44" t="s">
        <v>119</v>
      </c>
      <c r="B16" s="118">
        <f>533+326</f>
        <v>859</v>
      </c>
      <c r="C16" s="70">
        <v>555</v>
      </c>
      <c r="D16" s="119">
        <f>+C16-B16</f>
        <v>-304</v>
      </c>
      <c r="E16" s="70"/>
      <c r="F16" s="118">
        <f>849+512</f>
        <v>1361</v>
      </c>
      <c r="G16" s="70">
        <v>555</v>
      </c>
      <c r="H16" s="119">
        <f>+G16-F16</f>
        <v>-806</v>
      </c>
      <c r="J16" s="118">
        <f>1+515+0+299</f>
        <v>815</v>
      </c>
      <c r="K16" s="70">
        <v>859</v>
      </c>
      <c r="L16" s="119">
        <f>+K16-J16</f>
        <v>44</v>
      </c>
      <c r="N16" s="118">
        <v>1177</v>
      </c>
      <c r="O16" s="70">
        <v>859</v>
      </c>
      <c r="P16" s="119">
        <f>+O16-N16</f>
        <v>-318</v>
      </c>
      <c r="R16" s="118">
        <f>628+338</f>
        <v>966</v>
      </c>
      <c r="S16" s="70">
        <v>859</v>
      </c>
      <c r="T16" s="119">
        <f>+S16-R16</f>
        <v>-107</v>
      </c>
      <c r="V16" s="118">
        <f>631+345</f>
        <v>976</v>
      </c>
      <c r="W16" s="70">
        <v>859</v>
      </c>
      <c r="X16" s="119">
        <f>+W16-V16</f>
        <v>-117</v>
      </c>
      <c r="Z16" s="118">
        <v>1070</v>
      </c>
      <c r="AA16" s="70">
        <v>859</v>
      </c>
      <c r="AB16" s="119">
        <f>+AA16-Z16</f>
        <v>-211</v>
      </c>
      <c r="AD16" s="118">
        <v>1215</v>
      </c>
      <c r="AE16" s="70">
        <v>859</v>
      </c>
      <c r="AF16" s="119">
        <f>+AE16-AD16</f>
        <v>-356</v>
      </c>
      <c r="AH16" s="118">
        <f>+'Sub-Prog'!M7+'Sub-Prog'!M30</f>
        <v>1041</v>
      </c>
      <c r="AI16" s="70">
        <v>859</v>
      </c>
      <c r="AJ16" s="119">
        <f>+AI16-AH16</f>
        <v>-182</v>
      </c>
      <c r="AL16" s="118">
        <f>+'Sub-Prog'!N7+'Sub-Prog'!N30</f>
        <v>805</v>
      </c>
      <c r="AM16" s="70">
        <v>859</v>
      </c>
      <c r="AN16" s="119">
        <f>+AM16-AL16</f>
        <v>54</v>
      </c>
      <c r="AP16" s="118">
        <f>+'Sub-Prog'!O7+'Sub-Prog'!O30</f>
        <v>872</v>
      </c>
      <c r="AQ16" s="70">
        <f>+'Sub-Prog'!S7+'Sub-Prog'!S30</f>
        <v>896.75</v>
      </c>
      <c r="AR16" s="119">
        <f>+AQ16-AP16</f>
        <v>24.75</v>
      </c>
      <c r="AT16" s="118">
        <f>+'Sub-Prog'!P7+'Sub-Prog'!P30</f>
        <v>618</v>
      </c>
      <c r="AU16" s="70">
        <f>+'Sub-Prog'!S7+'Sub-Prog'!S30</f>
        <v>896.75</v>
      </c>
      <c r="AV16" s="119">
        <f>+AU16-AT16</f>
        <v>278.75</v>
      </c>
      <c r="AX16" s="118">
        <f>+'Sub-Prog'!A7+'Sub-Prog'!A30</f>
        <v>11776</v>
      </c>
      <c r="AY16" s="70">
        <f t="shared" si="0"/>
        <v>10761</v>
      </c>
      <c r="AZ16" s="119">
        <f>+AY16-AX16</f>
        <v>-1015</v>
      </c>
    </row>
    <row r="17" spans="2:52" ht="12.75" customHeight="1">
      <c r="B17" s="118"/>
      <c r="C17" s="70"/>
      <c r="D17" s="119"/>
      <c r="E17" s="70"/>
      <c r="F17" s="118"/>
      <c r="G17" s="70"/>
      <c r="H17" s="119"/>
      <c r="J17" s="118"/>
      <c r="K17" s="70"/>
      <c r="L17" s="119"/>
      <c r="N17" s="118"/>
      <c r="O17" s="70"/>
      <c r="P17" s="119"/>
      <c r="R17" s="118"/>
      <c r="S17" s="70"/>
      <c r="T17" s="119"/>
      <c r="V17" s="118"/>
      <c r="W17" s="70"/>
      <c r="X17" s="119"/>
      <c r="Z17" s="118"/>
      <c r="AA17" s="70"/>
      <c r="AB17" s="119"/>
      <c r="AD17" s="118"/>
      <c r="AE17" s="70"/>
      <c r="AF17" s="119"/>
      <c r="AH17" s="118"/>
      <c r="AI17" s="70"/>
      <c r="AJ17" s="119"/>
      <c r="AL17" s="118"/>
      <c r="AM17" s="70"/>
      <c r="AN17" s="119"/>
      <c r="AP17" s="118"/>
      <c r="AQ17" s="70"/>
      <c r="AR17" s="119"/>
      <c r="AT17" s="118"/>
      <c r="AU17" s="70"/>
      <c r="AV17" s="119"/>
      <c r="AX17" s="118"/>
      <c r="AY17" s="70"/>
      <c r="AZ17" s="119"/>
    </row>
    <row r="18" spans="1:52" ht="12.75" customHeight="1">
      <c r="A18" s="44" t="s">
        <v>87</v>
      </c>
      <c r="B18" s="118">
        <v>1171</v>
      </c>
      <c r="C18" s="70">
        <v>1879</v>
      </c>
      <c r="D18" s="119">
        <f>+C18-B18</f>
        <v>708</v>
      </c>
      <c r="E18" s="70"/>
      <c r="F18" s="118">
        <v>740</v>
      </c>
      <c r="G18" s="70">
        <v>1879</v>
      </c>
      <c r="H18" s="119">
        <f>+G18-F18</f>
        <v>1139</v>
      </c>
      <c r="J18" s="118">
        <f>705+63</f>
        <v>768</v>
      </c>
      <c r="K18" s="70">
        <v>1879</v>
      </c>
      <c r="L18" s="119">
        <f>+K18-J18</f>
        <v>1111</v>
      </c>
      <c r="N18" s="118">
        <v>734</v>
      </c>
      <c r="O18" s="70">
        <v>1879</v>
      </c>
      <c r="P18" s="119">
        <f>+O18-N18</f>
        <v>1145</v>
      </c>
      <c r="R18" s="118">
        <v>646</v>
      </c>
      <c r="S18" s="70">
        <v>1879</v>
      </c>
      <c r="T18" s="119">
        <f>+S18-R18</f>
        <v>1233</v>
      </c>
      <c r="V18" s="118">
        <v>823</v>
      </c>
      <c r="W18" s="70">
        <v>1879</v>
      </c>
      <c r="X18" s="119">
        <f>+W18-V18</f>
        <v>1056</v>
      </c>
      <c r="Z18" s="118">
        <v>808</v>
      </c>
      <c r="AA18" s="70">
        <v>1879</v>
      </c>
      <c r="AB18" s="119">
        <f>+AA18-Z18</f>
        <v>1071</v>
      </c>
      <c r="AD18" s="118">
        <v>941</v>
      </c>
      <c r="AE18" s="70">
        <v>1879</v>
      </c>
      <c r="AF18" s="119">
        <f>+AE18-AD18</f>
        <v>938</v>
      </c>
      <c r="AH18" s="118">
        <f>'Sub-Prog'!M35+'Sub-Prog'!M58</f>
        <v>932</v>
      </c>
      <c r="AI18" s="70">
        <v>1879</v>
      </c>
      <c r="AJ18" s="119">
        <f>+AI18-AH18</f>
        <v>947</v>
      </c>
      <c r="AL18" s="118">
        <f>'Sub-Prog'!N35+'Sub-Prog'!N58</f>
        <v>454</v>
      </c>
      <c r="AM18" s="70">
        <v>1879</v>
      </c>
      <c r="AN18" s="119">
        <f>+AM18-AL18</f>
        <v>1425</v>
      </c>
      <c r="AP18" s="118">
        <f>'Sub-Prog'!O35+'Sub-Prog'!O58</f>
        <v>1929</v>
      </c>
      <c r="AQ18" s="70">
        <f>'Sub-Prog'!S35+'Sub-Prog'!S58</f>
        <v>1962.5833333333333</v>
      </c>
      <c r="AR18" s="119">
        <f>+AQ18-AP18</f>
        <v>33.58333333333326</v>
      </c>
      <c r="AT18" s="118">
        <f>'Sub-Prog'!P35+'Sub-Prog'!P58</f>
        <v>2076</v>
      </c>
      <c r="AU18" s="70">
        <f>'Sub-Prog'!S35+'Sub-Prog'!S58</f>
        <v>1962.5833333333333</v>
      </c>
      <c r="AV18" s="119">
        <f>+AU18-AT18</f>
        <v>-113.41666666666674</v>
      </c>
      <c r="AX18" s="118">
        <f>'Sub-Prog'!A35+'Sub-Prog'!A58</f>
        <v>12022</v>
      </c>
      <c r="AY18" s="70">
        <f t="shared" si="0"/>
        <v>23551</v>
      </c>
      <c r="AZ18" s="119">
        <f>+AY18-AX18</f>
        <v>11529</v>
      </c>
    </row>
    <row r="19" spans="2:52" ht="12.75" customHeight="1">
      <c r="B19" s="118"/>
      <c r="C19" s="70"/>
      <c r="D19" s="119"/>
      <c r="E19" s="70"/>
      <c r="F19" s="118"/>
      <c r="G19" s="70"/>
      <c r="H19" s="119"/>
      <c r="J19" s="118"/>
      <c r="K19" s="70"/>
      <c r="L19" s="119"/>
      <c r="N19" s="118"/>
      <c r="O19" s="70"/>
      <c r="P19" s="119"/>
      <c r="R19" s="118"/>
      <c r="S19" s="70"/>
      <c r="T19" s="119"/>
      <c r="V19" s="118"/>
      <c r="W19" s="70"/>
      <c r="X19" s="119"/>
      <c r="Z19" s="118"/>
      <c r="AA19" s="70"/>
      <c r="AB19" s="119"/>
      <c r="AD19" s="118"/>
      <c r="AE19" s="70"/>
      <c r="AF19" s="119"/>
      <c r="AH19" s="118"/>
      <c r="AI19" s="70"/>
      <c r="AJ19" s="119"/>
      <c r="AL19" s="118"/>
      <c r="AM19" s="70"/>
      <c r="AN19" s="119"/>
      <c r="AP19" s="118"/>
      <c r="AQ19" s="70"/>
      <c r="AR19" s="119"/>
      <c r="AT19" s="118"/>
      <c r="AU19" s="70"/>
      <c r="AV19" s="119"/>
      <c r="AX19" s="118"/>
      <c r="AY19" s="70"/>
      <c r="AZ19" s="119"/>
    </row>
    <row r="20" spans="1:52" ht="12.75" customHeight="1">
      <c r="A20" s="44" t="s">
        <v>88</v>
      </c>
      <c r="B20" s="118">
        <v>4108</v>
      </c>
      <c r="C20" s="70">
        <v>6921</v>
      </c>
      <c r="D20" s="119">
        <f>+C20-B20</f>
        <v>2813</v>
      </c>
      <c r="E20" s="70"/>
      <c r="F20" s="118">
        <v>7533</v>
      </c>
      <c r="G20" s="70">
        <v>6921</v>
      </c>
      <c r="H20" s="119">
        <f>+G20-F20</f>
        <v>-612</v>
      </c>
      <c r="J20" s="118">
        <f>250+2992</f>
        <v>3242</v>
      </c>
      <c r="K20" s="70">
        <v>6921</v>
      </c>
      <c r="L20" s="119">
        <f>+K20-J20</f>
        <v>3679</v>
      </c>
      <c r="N20" s="118">
        <v>4352</v>
      </c>
      <c r="O20" s="70">
        <v>6921</v>
      </c>
      <c r="P20" s="119">
        <f>+O20-N20</f>
        <v>2569</v>
      </c>
      <c r="R20" s="118">
        <v>4045</v>
      </c>
      <c r="S20" s="70">
        <v>6921</v>
      </c>
      <c r="T20" s="119">
        <f>+S20-R20</f>
        <v>2876</v>
      </c>
      <c r="V20" s="118">
        <v>10396</v>
      </c>
      <c r="W20" s="70">
        <v>6921</v>
      </c>
      <c r="X20" s="119">
        <f>+W20-V20</f>
        <v>-3475</v>
      </c>
      <c r="Z20" s="118">
        <v>5050</v>
      </c>
      <c r="AA20" s="70">
        <v>6921</v>
      </c>
      <c r="AB20" s="119">
        <f>+AA20-Z20</f>
        <v>1871</v>
      </c>
      <c r="AD20" s="118">
        <v>3063</v>
      </c>
      <c r="AE20" s="70">
        <v>6921</v>
      </c>
      <c r="AF20" s="119">
        <f>+AE20-AD20</f>
        <v>3858</v>
      </c>
      <c r="AH20" s="118">
        <f>+'Sub-Prog'!M9+'Sub-Prog'!M36+'Sub-Prog'!M59+'Sub-Prog'!M99</f>
        <v>7819</v>
      </c>
      <c r="AI20" s="70">
        <v>6921</v>
      </c>
      <c r="AJ20" s="119">
        <f>+AI20-AH20</f>
        <v>-898</v>
      </c>
      <c r="AL20" s="118">
        <f>+'Sub-Prog'!N9+'Sub-Prog'!N36+'Sub-Prog'!N59+'Sub-Prog'!N99+'Sub-Prog'!N78</f>
        <v>5224</v>
      </c>
      <c r="AM20" s="70">
        <v>6921</v>
      </c>
      <c r="AN20" s="119">
        <f>+AM20-AL20</f>
        <v>1697</v>
      </c>
      <c r="AP20" s="118">
        <f>+'Sub-Prog'!O9+'Sub-Prog'!O36+'Sub-Prog'!O59+'Sub-Prog'!O99+'Sub-Prog'!O78</f>
        <v>11731</v>
      </c>
      <c r="AQ20" s="70">
        <f>+'Sub-Prog'!S9+'Sub-Prog'!S36+'Sub-Prog'!S59+'Sub-Prog'!S99+'Sub-Prog'!S78</f>
        <v>7228.25</v>
      </c>
      <c r="AR20" s="119">
        <f>+AQ20-AP20</f>
        <v>-4502.75</v>
      </c>
      <c r="AT20" s="118">
        <f>+'Sub-Prog'!P9+'Sub-Prog'!P36+'Sub-Prog'!P59+'Sub-Prog'!P99+'Sub-Prog'!P78-11150</f>
        <v>7470</v>
      </c>
      <c r="AU20" s="70">
        <f>+'Sub-Prog'!S9+'Sub-Prog'!S36+'Sub-Prog'!S59+'Sub-Prog'!S99+'Sub-Prog'!S78</f>
        <v>7228.25</v>
      </c>
      <c r="AV20" s="119">
        <f>+AU20-AT20</f>
        <v>-241.75</v>
      </c>
      <c r="AX20" s="118">
        <f>+'Sub-Prog'!A9+'Sub-Prog'!A36+'Sub-Prog'!A59+'Sub-Prog'!A99+'Sub-Prog'!A78-11150</f>
        <v>74032</v>
      </c>
      <c r="AY20" s="70">
        <f t="shared" si="0"/>
        <v>86739</v>
      </c>
      <c r="AZ20" s="119">
        <f>+AY20-AX20</f>
        <v>12707</v>
      </c>
    </row>
    <row r="21" spans="2:52" ht="12.75" customHeight="1">
      <c r="B21" s="118"/>
      <c r="C21" s="70"/>
      <c r="D21" s="119"/>
      <c r="E21" s="70"/>
      <c r="F21" s="118"/>
      <c r="G21" s="70"/>
      <c r="H21" s="119"/>
      <c r="J21" s="118"/>
      <c r="K21" s="70"/>
      <c r="L21" s="119"/>
      <c r="N21" s="118"/>
      <c r="O21" s="70"/>
      <c r="P21" s="119"/>
      <c r="R21" s="118"/>
      <c r="S21" s="70"/>
      <c r="T21" s="119"/>
      <c r="V21" s="118"/>
      <c r="W21" s="70"/>
      <c r="X21" s="119"/>
      <c r="Z21" s="118"/>
      <c r="AA21" s="70"/>
      <c r="AB21" s="119"/>
      <c r="AD21" s="118"/>
      <c r="AE21" s="70"/>
      <c r="AF21" s="119"/>
      <c r="AH21" s="118"/>
      <c r="AI21" s="70"/>
      <c r="AJ21" s="119"/>
      <c r="AL21" s="118"/>
      <c r="AM21" s="70"/>
      <c r="AN21" s="119"/>
      <c r="AP21" s="118"/>
      <c r="AQ21" s="70"/>
      <c r="AR21" s="119"/>
      <c r="AT21" s="118"/>
      <c r="AU21" s="70"/>
      <c r="AV21" s="119"/>
      <c r="AX21" s="118"/>
      <c r="AY21" s="70"/>
      <c r="AZ21" s="119"/>
    </row>
    <row r="22" spans="1:52" ht="12.75" customHeight="1">
      <c r="A22" s="44" t="s">
        <v>89</v>
      </c>
      <c r="B22" s="118">
        <v>4574</v>
      </c>
      <c r="C22" s="70">
        <v>9682</v>
      </c>
      <c r="D22" s="119">
        <f>+C22-B22</f>
        <v>5108</v>
      </c>
      <c r="E22" s="70"/>
      <c r="F22" s="118">
        <v>3655</v>
      </c>
      <c r="G22" s="70">
        <v>9682</v>
      </c>
      <c r="H22" s="119">
        <f>+G22-F22</f>
        <v>6027</v>
      </c>
      <c r="J22" s="118">
        <f>5138+1</f>
        <v>5139</v>
      </c>
      <c r="K22" s="70">
        <v>9682</v>
      </c>
      <c r="L22" s="119">
        <f>+K22-J22</f>
        <v>4543</v>
      </c>
      <c r="N22" s="118">
        <v>8651</v>
      </c>
      <c r="O22" s="70">
        <v>9682</v>
      </c>
      <c r="P22" s="119">
        <f>+O22-N22</f>
        <v>1031</v>
      </c>
      <c r="R22" s="118">
        <v>7827</v>
      </c>
      <c r="S22" s="70">
        <v>9682</v>
      </c>
      <c r="T22" s="119">
        <f>+S22-R22</f>
        <v>1855</v>
      </c>
      <c r="V22" s="118">
        <v>7354</v>
      </c>
      <c r="W22" s="70">
        <v>9682</v>
      </c>
      <c r="X22" s="119">
        <f>+W22-V22</f>
        <v>2328</v>
      </c>
      <c r="Z22" s="118">
        <v>2391</v>
      </c>
      <c r="AA22" s="70">
        <v>9682</v>
      </c>
      <c r="AB22" s="119">
        <f>+AA22-Z22</f>
        <v>7291</v>
      </c>
      <c r="AD22" s="118">
        <v>7028</v>
      </c>
      <c r="AE22" s="70">
        <f>5599+4083</f>
        <v>9682</v>
      </c>
      <c r="AF22" s="119">
        <f>+AE22-AD22</f>
        <v>2654</v>
      </c>
      <c r="AH22" s="118">
        <f>+'Sub-Prog'!M12+'Sub-Prog'!M37+'Sub-Prog'!M61+'Sub-Prog'!M77</f>
        <v>7556</v>
      </c>
      <c r="AI22" s="70">
        <f>5599+4083</f>
        <v>9682</v>
      </c>
      <c r="AJ22" s="119">
        <f>+AI22-AH22</f>
        <v>2126</v>
      </c>
      <c r="AL22" s="118">
        <f>+'Sub-Prog'!N12+'Sub-Prog'!N37+'Sub-Prog'!N61+'Sub-Prog'!N77</f>
        <v>3905</v>
      </c>
      <c r="AM22" s="70">
        <f>5599+4083</f>
        <v>9682</v>
      </c>
      <c r="AN22" s="119">
        <f>+AM22-AL22</f>
        <v>5777</v>
      </c>
      <c r="AP22" s="118">
        <f>+'Sub-Prog'!O12+'Sub-Prog'!O37+'Sub-Prog'!O61+'Sub-Prog'!O77+'Sub-Prog'!O102</f>
        <v>6942</v>
      </c>
      <c r="AQ22" s="70">
        <f>+'Sub-Prog'!S12+'Sub-Prog'!S37+'Sub-Prog'!S61+'Sub-Prog'!S77+'Sub-Prog'!S102</f>
        <v>5902.25</v>
      </c>
      <c r="AR22" s="119">
        <f>+AQ22-AP22</f>
        <v>-1039.75</v>
      </c>
      <c r="AT22" s="118">
        <f>+'Sub-Prog'!P12+'Sub-Prog'!P37+'Sub-Prog'!P61+'Sub-Prog'!P77+'Sub-Prog'!P102</f>
        <v>10740</v>
      </c>
      <c r="AU22" s="70">
        <f>+'Sub-Prog'!S12+'Sub-Prog'!S37+'Sub-Prog'!S61+'Sub-Prog'!S77+'Sub-Prog'!S102</f>
        <v>5902.25</v>
      </c>
      <c r="AV22" s="119">
        <f>+AU22-AT22</f>
        <v>-4837.75</v>
      </c>
      <c r="AX22" s="118">
        <f>+'Sub-Prog'!A12+'Sub-Prog'!A37+'Sub-Prog'!A61+'Sub-Prog'!A77+'Sub-Prog'!A102</f>
        <v>75792</v>
      </c>
      <c r="AY22" s="70">
        <f t="shared" si="0"/>
        <v>70827</v>
      </c>
      <c r="AZ22" s="119">
        <f>+AY22-AX22</f>
        <v>-4965</v>
      </c>
    </row>
    <row r="23" spans="2:52" ht="12.75" customHeight="1">
      <c r="B23" s="118"/>
      <c r="C23" s="70"/>
      <c r="D23" s="119"/>
      <c r="E23" s="70"/>
      <c r="F23" s="118"/>
      <c r="G23" s="70"/>
      <c r="H23" s="119"/>
      <c r="J23" s="118"/>
      <c r="K23" s="70"/>
      <c r="L23" s="119"/>
      <c r="N23" s="118"/>
      <c r="O23" s="70"/>
      <c r="P23" s="119"/>
      <c r="R23" s="118"/>
      <c r="S23" s="70"/>
      <c r="T23" s="119"/>
      <c r="V23" s="118"/>
      <c r="W23" s="70"/>
      <c r="X23" s="119"/>
      <c r="Z23" s="118"/>
      <c r="AA23" s="70"/>
      <c r="AB23" s="119"/>
      <c r="AD23" s="118"/>
      <c r="AE23" s="70"/>
      <c r="AF23" s="119"/>
      <c r="AH23" s="118"/>
      <c r="AI23" s="70"/>
      <c r="AJ23" s="119"/>
      <c r="AL23" s="118"/>
      <c r="AM23" s="70"/>
      <c r="AN23" s="119"/>
      <c r="AP23" s="118"/>
      <c r="AQ23" s="70"/>
      <c r="AR23" s="119"/>
      <c r="AT23" s="118"/>
      <c r="AU23" s="70"/>
      <c r="AV23" s="119"/>
      <c r="AX23" s="118"/>
      <c r="AY23" s="70"/>
      <c r="AZ23" s="119"/>
    </row>
    <row r="24" spans="1:52" ht="12.75" customHeight="1">
      <c r="A24" s="64" t="s">
        <v>91</v>
      </c>
      <c r="B24" s="118">
        <v>11342</v>
      </c>
      <c r="C24" s="70">
        <v>15412</v>
      </c>
      <c r="D24" s="119">
        <f>+C24-B24</f>
        <v>4070</v>
      </c>
      <c r="E24" s="70"/>
      <c r="F24" s="118">
        <v>-6584</v>
      </c>
      <c r="G24" s="70">
        <v>15412</v>
      </c>
      <c r="H24" s="119">
        <f>+G24-F24</f>
        <v>21996</v>
      </c>
      <c r="J24" s="118">
        <f>1395+4072</f>
        <v>5467</v>
      </c>
      <c r="K24" s="70">
        <v>15412</v>
      </c>
      <c r="L24" s="119">
        <f>+K24-J24</f>
        <v>9945</v>
      </c>
      <c r="N24" s="118">
        <v>21636</v>
      </c>
      <c r="O24" s="70">
        <v>15412</v>
      </c>
      <c r="P24" s="119">
        <f>+O24-N24</f>
        <v>-6224</v>
      </c>
      <c r="R24" s="118">
        <v>7599</v>
      </c>
      <c r="S24" s="70">
        <v>15412</v>
      </c>
      <c r="T24" s="119">
        <f>+S24-R24</f>
        <v>7813</v>
      </c>
      <c r="V24" s="118">
        <v>6627</v>
      </c>
      <c r="W24" s="70">
        <v>15412</v>
      </c>
      <c r="X24" s="119">
        <f>+W24-V24</f>
        <v>8785</v>
      </c>
      <c r="Z24" s="118">
        <v>11637</v>
      </c>
      <c r="AA24" s="70">
        <v>15412</v>
      </c>
      <c r="AB24" s="119">
        <f>+AA24-Z24</f>
        <v>3775</v>
      </c>
      <c r="AD24" s="118">
        <v>10076</v>
      </c>
      <c r="AE24" s="70">
        <f>2495+12917</f>
        <v>15412</v>
      </c>
      <c r="AF24" s="119">
        <f>+AE24-AD24</f>
        <v>5336</v>
      </c>
      <c r="AH24" s="118">
        <f>+'Sub-Prog'!M39+'Sub-Prog'!M62+'Sub-Prog'!M79+'Sub-Prog'!M103</f>
        <v>8320</v>
      </c>
      <c r="AI24" s="70">
        <f>2495+12917</f>
        <v>15412</v>
      </c>
      <c r="AJ24" s="119">
        <f>+AI24-AH24</f>
        <v>7092</v>
      </c>
      <c r="AL24" s="118">
        <f>+'Sub-Prog'!N39+'Sub-Prog'!N62+'Sub-Prog'!N79+'Sub-Prog'!N103</f>
        <v>9872</v>
      </c>
      <c r="AM24" s="70">
        <f>2495+12917</f>
        <v>15412</v>
      </c>
      <c r="AN24" s="119">
        <f>+AM24-AL24</f>
        <v>5540</v>
      </c>
      <c r="AP24" s="118">
        <f>+'Sub-Prog'!O39+'Sub-Prog'!O62+'Sub-Prog'!O79+'Sub-Prog'!O103</f>
        <v>65776</v>
      </c>
      <c r="AQ24" s="70">
        <f>+'Sub-Prog'!S39+'Sub-Prog'!S62+'Sub-Prog'!S79+'Sub-Prog'!S103</f>
        <v>16051</v>
      </c>
      <c r="AR24" s="119">
        <f>+AQ24-AP24</f>
        <v>-49725</v>
      </c>
      <c r="AT24" s="118">
        <f>+'Sub-Prog'!P39+'Sub-Prog'!P62+'Sub-Prog'!P79+'Sub-Prog'!P103</f>
        <v>13408</v>
      </c>
      <c r="AU24" s="70">
        <f>+'Sub-Prog'!S39+'Sub-Prog'!S62+'Sub-Prog'!S79+'Sub-Prog'!S103</f>
        <v>16051</v>
      </c>
      <c r="AV24" s="119">
        <f>+AU24-AT24</f>
        <v>2643</v>
      </c>
      <c r="AX24" s="118">
        <f>+'Sub-Prog'!A39+'Sub-Prog'!A62+'Sub-Prog'!A79+'Sub-Prog'!A103</f>
        <v>165174</v>
      </c>
      <c r="AY24" s="147">
        <f t="shared" si="0"/>
        <v>192612</v>
      </c>
      <c r="AZ24" s="119">
        <f>+AY24-AX24</f>
        <v>27438</v>
      </c>
    </row>
    <row r="25" spans="1:52" ht="12.75" customHeight="1">
      <c r="A25" s="64"/>
      <c r="B25" s="118"/>
      <c r="C25" s="70"/>
      <c r="D25" s="119"/>
      <c r="E25" s="70"/>
      <c r="F25" s="118"/>
      <c r="G25" s="70"/>
      <c r="H25" s="119"/>
      <c r="J25" s="118"/>
      <c r="K25" s="70"/>
      <c r="L25" s="119"/>
      <c r="N25" s="118"/>
      <c r="O25" s="70"/>
      <c r="P25" s="119"/>
      <c r="R25" s="118"/>
      <c r="S25" s="70"/>
      <c r="T25" s="119"/>
      <c r="V25" s="118"/>
      <c r="W25" s="70"/>
      <c r="X25" s="119"/>
      <c r="Z25" s="118"/>
      <c r="AA25" s="70"/>
      <c r="AB25" s="119"/>
      <c r="AD25" s="118"/>
      <c r="AE25" s="70"/>
      <c r="AF25" s="119"/>
      <c r="AH25" s="118"/>
      <c r="AI25" s="70"/>
      <c r="AJ25" s="119"/>
      <c r="AL25" s="118"/>
      <c r="AM25" s="70"/>
      <c r="AN25" s="119"/>
      <c r="AP25" s="118"/>
      <c r="AQ25" s="70"/>
      <c r="AR25" s="119"/>
      <c r="AT25" s="118"/>
      <c r="AU25" s="70"/>
      <c r="AV25" s="119"/>
      <c r="AX25" s="118"/>
      <c r="AY25" s="70"/>
      <c r="AZ25" s="119"/>
    </row>
    <row r="26" spans="1:52" ht="12.75" customHeight="1">
      <c r="A26" s="64" t="s">
        <v>90</v>
      </c>
      <c r="B26" s="118">
        <v>942</v>
      </c>
      <c r="C26" s="70">
        <v>729</v>
      </c>
      <c r="D26" s="119">
        <f>+C26-B26</f>
        <v>-213</v>
      </c>
      <c r="E26" s="70"/>
      <c r="F26" s="118">
        <v>1108</v>
      </c>
      <c r="G26" s="70">
        <v>729</v>
      </c>
      <c r="H26" s="119">
        <f>+G26-F26</f>
        <v>-379</v>
      </c>
      <c r="J26" s="118">
        <f>1222+29</f>
        <v>1251</v>
      </c>
      <c r="K26" s="70">
        <v>729</v>
      </c>
      <c r="L26" s="119">
        <f>+K26-J26</f>
        <v>-522</v>
      </c>
      <c r="N26" s="118">
        <v>1366</v>
      </c>
      <c r="O26" s="70">
        <v>729</v>
      </c>
      <c r="P26" s="119">
        <f>+O26-N26</f>
        <v>-637</v>
      </c>
      <c r="R26" s="118">
        <v>1019</v>
      </c>
      <c r="S26" s="70">
        <v>729</v>
      </c>
      <c r="T26" s="119">
        <f>+S26-R26</f>
        <v>-290</v>
      </c>
      <c r="V26" s="118">
        <v>2080</v>
      </c>
      <c r="W26" s="70">
        <v>729</v>
      </c>
      <c r="X26" s="119">
        <f>+W26-V26</f>
        <v>-1351</v>
      </c>
      <c r="Z26" s="118">
        <v>1523</v>
      </c>
      <c r="AA26" s="70">
        <v>729</v>
      </c>
      <c r="AB26" s="119">
        <f>+AA26-Z26</f>
        <v>-794</v>
      </c>
      <c r="AD26" s="118">
        <v>790</v>
      </c>
      <c r="AE26" s="70">
        <f>437+292</f>
        <v>729</v>
      </c>
      <c r="AF26" s="119">
        <f>+AE26-AD26</f>
        <v>-61</v>
      </c>
      <c r="AH26" s="118">
        <f>+'Sub-Prog'!M38+'Sub-Prog'!M80</f>
        <v>740</v>
      </c>
      <c r="AI26" s="70">
        <f>437+292</f>
        <v>729</v>
      </c>
      <c r="AJ26" s="119">
        <f>+AI26-AH26</f>
        <v>-11</v>
      </c>
      <c r="AL26" s="118">
        <f>+'Sub-Prog'!N38+'Sub-Prog'!N80</f>
        <v>380</v>
      </c>
      <c r="AM26" s="70">
        <f>437+292</f>
        <v>729</v>
      </c>
      <c r="AN26" s="119">
        <f>+AM26-AL26</f>
        <v>349</v>
      </c>
      <c r="AP26" s="118">
        <f>+'Sub-Prog'!O38+'Sub-Prog'!O80+'Sub-Prog'!O60</f>
        <v>716</v>
      </c>
      <c r="AQ26" s="70">
        <f>+'Sub-Prog'!S38+'Sub-Prog'!S80+'Sub-Prog'!S60</f>
        <v>942.25</v>
      </c>
      <c r="AR26" s="119">
        <f>+AQ26-AP26</f>
        <v>226.25</v>
      </c>
      <c r="AT26" s="118">
        <f>+'Sub-Prog'!P38+'Sub-Prog'!P80+'Sub-Prog'!P60</f>
        <v>1323</v>
      </c>
      <c r="AU26" s="70">
        <f>+'Sub-Prog'!S38+'Sub-Prog'!S80+'Sub-Prog'!S60</f>
        <v>942.25</v>
      </c>
      <c r="AV26" s="119">
        <f>+AU26-AT26</f>
        <v>-380.75</v>
      </c>
      <c r="AX26" s="118">
        <f>+'Sub-Prog'!A38+'Sub-Prog'!A80+'Sub-Prog'!A60</f>
        <v>13238</v>
      </c>
      <c r="AY26" s="70">
        <f t="shared" si="0"/>
        <v>11307</v>
      </c>
      <c r="AZ26" s="119">
        <f>+AY26-AX26</f>
        <v>-1931</v>
      </c>
    </row>
    <row r="27" spans="1:52" ht="12.75" customHeight="1">
      <c r="A27" s="64"/>
      <c r="B27" s="118"/>
      <c r="C27" s="70"/>
      <c r="D27" s="119"/>
      <c r="E27" s="70"/>
      <c r="F27" s="118"/>
      <c r="G27" s="70"/>
      <c r="H27" s="119"/>
      <c r="J27" s="118"/>
      <c r="K27" s="70"/>
      <c r="L27" s="119"/>
      <c r="N27" s="118"/>
      <c r="O27" s="70"/>
      <c r="P27" s="119"/>
      <c r="R27" s="118"/>
      <c r="S27" s="70"/>
      <c r="T27" s="119"/>
      <c r="V27" s="118"/>
      <c r="W27" s="70"/>
      <c r="X27" s="119"/>
      <c r="Z27" s="118"/>
      <c r="AA27" s="70"/>
      <c r="AB27" s="119"/>
      <c r="AD27" s="118"/>
      <c r="AE27" s="70"/>
      <c r="AF27" s="119"/>
      <c r="AH27" s="118"/>
      <c r="AI27" s="70"/>
      <c r="AJ27" s="119"/>
      <c r="AL27" s="118"/>
      <c r="AM27" s="70"/>
      <c r="AN27" s="119"/>
      <c r="AP27" s="118"/>
      <c r="AQ27" s="70"/>
      <c r="AR27" s="119"/>
      <c r="AT27" s="118"/>
      <c r="AU27" s="70"/>
      <c r="AV27" s="119"/>
      <c r="AX27" s="118"/>
      <c r="AY27" s="70"/>
      <c r="AZ27" s="119"/>
    </row>
    <row r="28" spans="1:52" ht="12.75" customHeight="1">
      <c r="A28" s="44" t="s">
        <v>92</v>
      </c>
      <c r="B28" s="118">
        <v>2719</v>
      </c>
      <c r="C28" s="70">
        <v>78526</v>
      </c>
      <c r="D28" s="119">
        <f>+C28-B28</f>
        <v>75807</v>
      </c>
      <c r="E28" s="70"/>
      <c r="F28" s="118">
        <v>59591</v>
      </c>
      <c r="G28" s="70">
        <v>78526</v>
      </c>
      <c r="H28" s="119">
        <f>+G28-F28</f>
        <v>18935</v>
      </c>
      <c r="J28" s="118">
        <f>46+9+20+1593</f>
        <v>1668</v>
      </c>
      <c r="K28" s="70">
        <v>78526</v>
      </c>
      <c r="L28" s="119">
        <f>+K28-J28</f>
        <v>76858</v>
      </c>
      <c r="N28" s="118">
        <v>119412</v>
      </c>
      <c r="O28" s="70">
        <v>78526</v>
      </c>
      <c r="P28" s="119">
        <f>+O28-N28</f>
        <v>-40886</v>
      </c>
      <c r="R28" s="118">
        <v>57085</v>
      </c>
      <c r="S28" s="70">
        <v>78526</v>
      </c>
      <c r="T28" s="119">
        <f>+S28-R28</f>
        <v>21441</v>
      </c>
      <c r="V28" s="118">
        <v>66662</v>
      </c>
      <c r="W28" s="70">
        <v>78526</v>
      </c>
      <c r="X28" s="119">
        <f>+W28-V28</f>
        <v>11864</v>
      </c>
      <c r="Z28" s="118">
        <v>62469</v>
      </c>
      <c r="AA28" s="70">
        <v>78526</v>
      </c>
      <c r="AB28" s="119">
        <f>+AA28-Z28</f>
        <v>16057</v>
      </c>
      <c r="AD28" s="118">
        <v>72743</v>
      </c>
      <c r="AE28" s="70">
        <v>79047</v>
      </c>
      <c r="AF28" s="119">
        <f>+AE28-AD28</f>
        <v>6304</v>
      </c>
      <c r="AH28" s="118">
        <f>+'Sub-Prog'!M13+'Sub-Prog'!M41+'Sub-Prog'!M63+'Sub-Prog'!M89</f>
        <v>26</v>
      </c>
      <c r="AI28" s="70">
        <v>79047</v>
      </c>
      <c r="AJ28" s="119">
        <f>+AI28-AH28</f>
        <v>79021</v>
      </c>
      <c r="AL28" s="118">
        <f>+'Sub-Prog'!N13+'Sub-Prog'!N41+'Sub-Prog'!N63+'Sub-Prog'!N89</f>
        <v>-84</v>
      </c>
      <c r="AM28" s="70">
        <v>79047</v>
      </c>
      <c r="AN28" s="119">
        <f>+AM28-AL28</f>
        <v>79131</v>
      </c>
      <c r="AP28" s="118">
        <f>+'Sub-Prog'!O13+'Sub-Prog'!O41+'Sub-Prog'!O63+'Sub-Prog'!O90</f>
        <v>79191</v>
      </c>
      <c r="AQ28" s="70">
        <f>+'Sub-Prog'!S13+'Sub-Prog'!S41+'Sub-Prog'!S63+'Sub-Prog'!S90</f>
        <v>79047.33333333333</v>
      </c>
      <c r="AR28" s="119">
        <f>+AQ28-AP28</f>
        <v>-143.66666666667152</v>
      </c>
      <c r="AT28" s="118">
        <f>+'Sub-Prog'!P13+'Sub-Prog'!P41+'Sub-Prog'!P63+'Sub-Prog'!P90</f>
        <v>221347</v>
      </c>
      <c r="AU28" s="70">
        <f>+'Sub-Prog'!S13+'Sub-Prog'!S41+'Sub-Prog'!S63+'Sub-Prog'!S90</f>
        <v>79047.33333333333</v>
      </c>
      <c r="AV28" s="119">
        <f>+AU28-AT28</f>
        <v>-142299.6666666667</v>
      </c>
      <c r="AX28" s="118">
        <f>+'Sub-Prog'!A13+'Sub-Prog'!A41+'Sub-Prog'!A63+'Sub-Prog'!A90-4</f>
        <v>927927</v>
      </c>
      <c r="AY28" s="70">
        <f t="shared" si="0"/>
        <v>948568</v>
      </c>
      <c r="AZ28" s="119">
        <f>+AY28-AX28</f>
        <v>20641</v>
      </c>
    </row>
    <row r="29" spans="2:52" ht="12.75" customHeight="1">
      <c r="B29" s="118"/>
      <c r="C29" s="70"/>
      <c r="D29" s="119"/>
      <c r="E29" s="70"/>
      <c r="F29" s="118"/>
      <c r="G29" s="70"/>
      <c r="H29" s="119"/>
      <c r="J29" s="118"/>
      <c r="K29" s="70"/>
      <c r="L29" s="119"/>
      <c r="N29" s="118"/>
      <c r="O29" s="70"/>
      <c r="P29" s="119"/>
      <c r="R29" s="118"/>
      <c r="S29" s="70"/>
      <c r="T29" s="119"/>
      <c r="V29" s="118"/>
      <c r="W29" s="70"/>
      <c r="X29" s="119"/>
      <c r="Z29" s="118"/>
      <c r="AA29" s="70"/>
      <c r="AB29" s="119"/>
      <c r="AD29" s="118"/>
      <c r="AE29" s="70"/>
      <c r="AF29" s="119"/>
      <c r="AH29" s="118"/>
      <c r="AI29" s="70"/>
      <c r="AJ29" s="119"/>
      <c r="AL29" s="118"/>
      <c r="AM29" s="70"/>
      <c r="AN29" s="119"/>
      <c r="AP29" s="118"/>
      <c r="AQ29" s="70"/>
      <c r="AR29" s="119"/>
      <c r="AT29" s="118"/>
      <c r="AU29" s="70"/>
      <c r="AV29" s="119"/>
      <c r="AX29" s="118"/>
      <c r="AY29" s="70"/>
      <c r="AZ29" s="119"/>
    </row>
    <row r="30" spans="1:52" ht="12.75" customHeight="1">
      <c r="A30" s="44" t="s">
        <v>97</v>
      </c>
      <c r="B30" s="118">
        <v>82198</v>
      </c>
      <c r="C30" s="70">
        <v>67900</v>
      </c>
      <c r="D30" s="119">
        <f>+C30-B30</f>
        <v>-14298</v>
      </c>
      <c r="E30" s="70"/>
      <c r="F30" s="118">
        <v>87674</v>
      </c>
      <c r="G30" s="70">
        <v>67900</v>
      </c>
      <c r="H30" s="119">
        <f>+G30-F30</f>
        <v>-19774</v>
      </c>
      <c r="J30" s="118">
        <f>15921+2438+4494+56972+52000+3420+5842+7</f>
        <v>141094</v>
      </c>
      <c r="K30" s="70">
        <v>67900</v>
      </c>
      <c r="L30" s="119">
        <f>+K30-J30</f>
        <v>-73194</v>
      </c>
      <c r="N30" s="118">
        <v>0</v>
      </c>
      <c r="O30" s="70">
        <v>67900</v>
      </c>
      <c r="P30" s="119">
        <f>+O30-N30</f>
        <v>67900</v>
      </c>
      <c r="R30" s="118">
        <v>61923</v>
      </c>
      <c r="S30" s="70">
        <v>67900</v>
      </c>
      <c r="T30" s="119">
        <f>+S30-R30</f>
        <v>5977</v>
      </c>
      <c r="V30" s="118">
        <v>64399</v>
      </c>
      <c r="W30" s="70">
        <v>67900</v>
      </c>
      <c r="X30" s="119">
        <f>+W30-V30</f>
        <v>3501</v>
      </c>
      <c r="Z30" s="118">
        <v>78332</v>
      </c>
      <c r="AA30" s="70">
        <v>67900</v>
      </c>
      <c r="AB30" s="119">
        <f>+AA30-Z30</f>
        <v>-10432</v>
      </c>
      <c r="AD30" s="118">
        <v>62411</v>
      </c>
      <c r="AE30" s="70">
        <f>5307+1244+2283+28486+25833+1913+2928</f>
        <v>67994</v>
      </c>
      <c r="AF30" s="119">
        <f>+AE30-AD30</f>
        <v>5583</v>
      </c>
      <c r="AH30" s="118">
        <f>+'Sub-Prog'!M105+'Sub-Prog'!M106+'Sub-Prog'!M107+'Sub-Prog'!M108+'Sub-Prog'!M109+'Sub-Prog'!M110+'Sub-Prog'!M111</f>
        <v>63810</v>
      </c>
      <c r="AI30" s="70">
        <f>5307+1244+2283+28486+25833+1913+2928</f>
        <v>67994</v>
      </c>
      <c r="AJ30" s="119">
        <f>+AI30-AH30</f>
        <v>4184</v>
      </c>
      <c r="AL30" s="118">
        <f>+'Sub-Prog'!N105+'Sub-Prog'!N106+'Sub-Prog'!N107+'Sub-Prog'!N108+'Sub-Prog'!N109+'Sub-Prog'!N110+'Sub-Prog'!N111</f>
        <v>78602</v>
      </c>
      <c r="AM30" s="70">
        <f>5307+1244+2283+28486+25833+1913+2928</f>
        <v>67994</v>
      </c>
      <c r="AN30" s="119">
        <f>+AM30-AL30</f>
        <v>-10608</v>
      </c>
      <c r="AP30" s="118">
        <f>+'Sub-Prog'!O105+'Sub-Prog'!O106+'Sub-Prog'!O107+'Sub-Prog'!O108+'Sub-Prog'!O109+'Sub-Prog'!O110+'Sub-Prog'!O111+'Sub-Prog'!O81</f>
        <v>62219</v>
      </c>
      <c r="AQ30" s="70">
        <f>+'Sub-Prog'!S105+'Sub-Prog'!S106+'Sub-Prog'!S107+'Sub-Prog'!S108+'Sub-Prog'!S109+'Sub-Prog'!S110+'Sub-Prog'!S111+'Sub-Prog'!S81</f>
        <v>67993.91666666666</v>
      </c>
      <c r="AR30" s="119">
        <f>+AQ30-AP30</f>
        <v>5774.916666666657</v>
      </c>
      <c r="AT30" s="118">
        <f>+'Sub-Prog'!P105+'Sub-Prog'!P106+'Sub-Prog'!P107+'Sub-Prog'!P108+'Sub-Prog'!P109+'Sub-Prog'!P110+'Sub-Prog'!P111+'Sub-Prog'!P81-410</f>
        <v>60289</v>
      </c>
      <c r="AU30" s="70">
        <f>+'Sub-Prog'!S105+'Sub-Prog'!S106+'Sub-Prog'!S107+'Sub-Prog'!S108+'Sub-Prog'!S109+'Sub-Prog'!S110+'Sub-Prog'!S111+'Sub-Prog'!S81</f>
        <v>67993.91666666666</v>
      </c>
      <c r="AV30" s="119">
        <f>+AU30-AT30</f>
        <v>7704.916666666657</v>
      </c>
      <c r="AX30" s="118">
        <f>+'Sub-Prog'!A105+'Sub-Prog'!A106+'Sub-Prog'!A107+'Sub-Prog'!A108+'Sub-Prog'!A109+'Sub-Prog'!A110+'Sub-Prog'!A111+'Sub-Prog'!A81-410</f>
        <v>815936</v>
      </c>
      <c r="AY30" s="70">
        <f t="shared" si="0"/>
        <v>815926.9999999999</v>
      </c>
      <c r="AZ30" s="119">
        <f>+AY30-AX30</f>
        <v>-9.000000000116415</v>
      </c>
    </row>
    <row r="31" spans="2:52" ht="12.75" customHeight="1">
      <c r="B31" s="118"/>
      <c r="C31" s="70"/>
      <c r="D31" s="119"/>
      <c r="E31" s="70"/>
      <c r="F31" s="118"/>
      <c r="G31" s="70"/>
      <c r="H31" s="119"/>
      <c r="J31" s="118"/>
      <c r="K31" s="70"/>
      <c r="L31" s="119"/>
      <c r="N31" s="118"/>
      <c r="O31" s="70"/>
      <c r="P31" s="119"/>
      <c r="R31" s="118"/>
      <c r="S31" s="70"/>
      <c r="T31" s="119"/>
      <c r="V31" s="118"/>
      <c r="W31" s="70"/>
      <c r="X31" s="119"/>
      <c r="Z31" s="118"/>
      <c r="AA31" s="70"/>
      <c r="AB31" s="119"/>
      <c r="AD31" s="118"/>
      <c r="AE31" s="70"/>
      <c r="AF31" s="119"/>
      <c r="AH31" s="118"/>
      <c r="AI31" s="70"/>
      <c r="AJ31" s="119"/>
      <c r="AL31" s="118"/>
      <c r="AM31" s="70"/>
      <c r="AN31" s="119"/>
      <c r="AP31" s="118"/>
      <c r="AQ31" s="70"/>
      <c r="AR31" s="119"/>
      <c r="AT31" s="118"/>
      <c r="AU31" s="70"/>
      <c r="AV31" s="119"/>
      <c r="AX31" s="118"/>
      <c r="AY31" s="70"/>
      <c r="AZ31" s="119"/>
    </row>
    <row r="32" spans="1:52" ht="12.75" customHeight="1">
      <c r="A32" s="44" t="s">
        <v>104</v>
      </c>
      <c r="B32" s="120">
        <v>675</v>
      </c>
      <c r="C32" s="68">
        <v>19270</v>
      </c>
      <c r="D32" s="119">
        <f>+C32-B32</f>
        <v>18595</v>
      </c>
      <c r="F32" s="120">
        <v>979</v>
      </c>
      <c r="G32" s="68">
        <v>19270</v>
      </c>
      <c r="H32" s="119">
        <f>+G32-F32</f>
        <v>18291</v>
      </c>
      <c r="J32" s="120">
        <f>1144+14+1206+103+277+6</f>
        <v>2750</v>
      </c>
      <c r="K32" s="68">
        <v>19270</v>
      </c>
      <c r="L32" s="119">
        <f>+K32-J32</f>
        <v>16520</v>
      </c>
      <c r="N32" s="120">
        <v>1951</v>
      </c>
      <c r="O32" s="68">
        <v>19270</v>
      </c>
      <c r="P32" s="119">
        <f>+O32-N32</f>
        <v>17319</v>
      </c>
      <c r="R32" s="120">
        <f>287+1+9+9-9190+38+1</f>
        <v>-8845</v>
      </c>
      <c r="S32" s="68">
        <v>19270</v>
      </c>
      <c r="T32" s="119">
        <f>+S32-R32</f>
        <v>28115</v>
      </c>
      <c r="V32" s="120">
        <f>710+39+17-714-731</f>
        <v>-679</v>
      </c>
      <c r="W32" s="68">
        <v>19270</v>
      </c>
      <c r="X32" s="119">
        <f>+W32-V32</f>
        <v>19949</v>
      </c>
      <c r="Z32" s="120">
        <v>194</v>
      </c>
      <c r="AA32" s="68">
        <v>19270</v>
      </c>
      <c r="AB32" s="119">
        <f>+AA32-Z32</f>
        <v>19076</v>
      </c>
      <c r="AD32" s="120">
        <f>65529-62411</f>
        <v>3118</v>
      </c>
      <c r="AE32" s="68">
        <f>883+74+20</f>
        <v>977</v>
      </c>
      <c r="AF32" s="119">
        <f>+AE32-AD32</f>
        <v>-2141</v>
      </c>
      <c r="AH32" s="120" t="e">
        <f>+'Sub-Prog'!M112+'Sub-Prog'!M113+'Sub-Prog'!M114+'Sub-Prog'!M115+'Sub-Prog'!M14+'Sub-Prog'!M16+'Sub-Prog'!M40+'Sub-Prog'!M42+'Sub-Prog'!M43+'Sub-Prog'!M44+'Sub-Prog'!M64+'Sub-Prog'!#REF!</f>
        <v>#REF!</v>
      </c>
      <c r="AI32" s="68">
        <f>883+74+20</f>
        <v>977</v>
      </c>
      <c r="AJ32" s="119" t="e">
        <f>+AI32-AH32</f>
        <v>#REF!</v>
      </c>
      <c r="AL32" s="120">
        <f>+'Sub-Prog'!N112+'Sub-Prog'!N113+'Sub-Prog'!N114+'Sub-Prog'!N115+'Sub-Prog'!N14+'Sub-Prog'!N16+'Sub-Prog'!N40+'Sub-Prog'!N42+'Sub-Prog'!N43+'Sub-Prog'!N44+'Sub-Prog'!N64</f>
        <v>750</v>
      </c>
      <c r="AM32" s="68">
        <f>883+74+20</f>
        <v>977</v>
      </c>
      <c r="AN32" s="119">
        <f>+AM32-AL32</f>
        <v>227</v>
      </c>
      <c r="AP32" s="120">
        <f>+'Sub-Prog'!O112+'Sub-Prog'!O113+'Sub-Prog'!O114+'Sub-Prog'!O115+'Sub-Prog'!O14+'Sub-Prog'!O16+'Sub-Prog'!O40+'Sub-Prog'!O42+'Sub-Prog'!O43+'Sub-Prog'!O44+'Sub-Prog'!O64</f>
        <v>-1058</v>
      </c>
      <c r="AQ32" s="68">
        <f>+'Sub-Prog'!S112+'Sub-Prog'!S113+'Sub-Prog'!S114+'Sub-Prog'!S115+'Sub-Prog'!S14+'Sub-Prog'!S16+'Sub-Prog'!S40+'Sub-Prog'!S42+'Sub-Prog'!S43+'Sub-Prog'!S44+'Sub-Prog'!S64</f>
        <v>96.58333333333333</v>
      </c>
      <c r="AR32" s="119">
        <f>+AQ32-AP32</f>
        <v>1154.5833333333333</v>
      </c>
      <c r="AT32" s="120">
        <f>+'Sub-Prog'!P112+'Sub-Prog'!P113+'Sub-Prog'!P114+'Sub-Prog'!P115+'Sub-Prog'!P14+'Sub-Prog'!P16+'Sub-Prog'!P40+'Sub-Prog'!P42+'Sub-Prog'!P43+'Sub-Prog'!P44+'Sub-Prog'!P64+11560</f>
        <v>11276</v>
      </c>
      <c r="AU32" s="68">
        <f>+'Sub-Prog'!S112+'Sub-Prog'!S113+'Sub-Prog'!S114+'Sub-Prog'!S115+'Sub-Prog'!S14+'Sub-Prog'!S16+'Sub-Prog'!S40+'Sub-Prog'!S42+'Sub-Prog'!S43+'Sub-Prog'!S44+'Sub-Prog'!S64</f>
        <v>96.58333333333333</v>
      </c>
      <c r="AV32" s="119">
        <f>+AU32-AT32</f>
        <v>-11179.416666666666</v>
      </c>
      <c r="AX32" s="120">
        <f>+'Sub-Prog'!A112+'Sub-Prog'!A113+'Sub-Prog'!A114+'Sub-Prog'!A115+'Sub-Prog'!A14+'Sub-Prog'!A16+'Sub-Prog'!A40+'Sub-Prog'!A42+'Sub-Prog'!A43+'Sub-Prog'!A44+'Sub-Prog'!A64+11560</f>
        <v>18743</v>
      </c>
      <c r="AY32" s="70">
        <f t="shared" si="0"/>
        <v>1159</v>
      </c>
      <c r="AZ32" s="119">
        <f>+AY32-AX32</f>
        <v>-17584</v>
      </c>
    </row>
    <row r="33" spans="2:52" ht="12" customHeight="1">
      <c r="B33" s="120"/>
      <c r="D33" s="119"/>
      <c r="F33" s="120"/>
      <c r="H33" s="119"/>
      <c r="J33" s="120"/>
      <c r="L33" s="119"/>
      <c r="N33" s="120"/>
      <c r="P33" s="119"/>
      <c r="R33" s="120"/>
      <c r="T33" s="119"/>
      <c r="V33" s="120"/>
      <c r="X33" s="119"/>
      <c r="Z33" s="120"/>
      <c r="AB33" s="119"/>
      <c r="AD33" s="120"/>
      <c r="AF33" s="119"/>
      <c r="AH33" s="120"/>
      <c r="AJ33" s="119"/>
      <c r="AL33" s="120"/>
      <c r="AN33" s="119"/>
      <c r="AP33" s="120"/>
      <c r="AR33" s="119"/>
      <c r="AT33" s="120"/>
      <c r="AV33" s="119"/>
      <c r="AX33" s="120"/>
      <c r="AY33" s="70"/>
      <c r="AZ33" s="119"/>
    </row>
    <row r="34" spans="1:52" ht="12.75" customHeight="1">
      <c r="A34" s="44" t="s">
        <v>95</v>
      </c>
      <c r="B34" s="120">
        <v>0</v>
      </c>
      <c r="C34" s="68">
        <v>7071</v>
      </c>
      <c r="D34" s="119">
        <f>+C34-B34</f>
        <v>7071</v>
      </c>
      <c r="F34" s="120">
        <v>0</v>
      </c>
      <c r="G34" s="68">
        <v>7071</v>
      </c>
      <c r="H34" s="119">
        <f>+G34-F34</f>
        <v>7071</v>
      </c>
      <c r="J34" s="120">
        <v>0</v>
      </c>
      <c r="K34" s="68">
        <v>7071</v>
      </c>
      <c r="L34" s="119">
        <f>+K34-J34</f>
        <v>7071</v>
      </c>
      <c r="N34" s="120">
        <v>0</v>
      </c>
      <c r="O34" s="68">
        <v>7071</v>
      </c>
      <c r="P34" s="119">
        <f>+O34-N34</f>
        <v>7071</v>
      </c>
      <c r="R34" s="120">
        <v>0</v>
      </c>
      <c r="S34" s="68">
        <v>7071</v>
      </c>
      <c r="T34" s="119">
        <f>+S34-R34</f>
        <v>7071</v>
      </c>
      <c r="V34" s="120">
        <v>0</v>
      </c>
      <c r="W34" s="68">
        <v>7071</v>
      </c>
      <c r="X34" s="119">
        <f>+W34-V34</f>
        <v>7071</v>
      </c>
      <c r="Z34" s="120">
        <v>0</v>
      </c>
      <c r="AA34" s="68">
        <v>7071</v>
      </c>
      <c r="AB34" s="119">
        <f>+AA34-Z34</f>
        <v>7071</v>
      </c>
      <c r="AD34" s="120">
        <v>0</v>
      </c>
      <c r="AE34" s="68">
        <f>36+742+5158+1156</f>
        <v>7092</v>
      </c>
      <c r="AF34" s="119">
        <f>+AE34-AD34</f>
        <v>7092</v>
      </c>
      <c r="AH34" s="120">
        <v>0</v>
      </c>
      <c r="AI34" s="68">
        <f>36+742+5158+1156</f>
        <v>7092</v>
      </c>
      <c r="AJ34" s="119">
        <f>+AI34-AH34</f>
        <v>7092</v>
      </c>
      <c r="AL34" s="120">
        <v>0</v>
      </c>
      <c r="AM34" s="68">
        <f>36+742+5158+1156</f>
        <v>7092</v>
      </c>
      <c r="AN34" s="119">
        <f>+AM34-AL34</f>
        <v>7092</v>
      </c>
      <c r="AP34" s="120">
        <v>0</v>
      </c>
      <c r="AQ34" s="68">
        <f>+'Sub-Prog'!S45+'Sub-Prog'!S65+'Sub-Prog'!S82+'Sub-Prog'!S116-1</f>
        <v>8643.333333333334</v>
      </c>
      <c r="AR34" s="119">
        <f>+AQ34-AP34</f>
        <v>8643.333333333334</v>
      </c>
      <c r="AT34" s="120">
        <v>0</v>
      </c>
      <c r="AU34" s="68">
        <f>+'Sub-Prog'!S45+'Sub-Prog'!S65+'Sub-Prog'!S82+'Sub-Prog'!S116-1</f>
        <v>8643.333333333334</v>
      </c>
      <c r="AV34" s="119">
        <f>+AU34-AT34</f>
        <v>8643.333333333334</v>
      </c>
      <c r="AX34" s="120">
        <v>0</v>
      </c>
      <c r="AY34" s="70">
        <f t="shared" si="0"/>
        <v>103720</v>
      </c>
      <c r="AZ34" s="119">
        <f>+AY34-AX34</f>
        <v>103720</v>
      </c>
    </row>
    <row r="35" spans="2:52" ht="12" customHeight="1">
      <c r="B35" s="121"/>
      <c r="C35" s="55"/>
      <c r="D35" s="119"/>
      <c r="F35" s="121"/>
      <c r="G35" s="55"/>
      <c r="H35" s="122"/>
      <c r="J35" s="121"/>
      <c r="K35" s="55"/>
      <c r="L35" s="119"/>
      <c r="N35" s="121"/>
      <c r="O35" s="55"/>
      <c r="P35" s="119"/>
      <c r="R35" s="121"/>
      <c r="S35" s="55"/>
      <c r="T35" s="119"/>
      <c r="V35" s="121"/>
      <c r="W35" s="55"/>
      <c r="X35" s="119"/>
      <c r="Z35" s="121"/>
      <c r="AA35" s="55"/>
      <c r="AB35" s="119"/>
      <c r="AD35" s="121"/>
      <c r="AE35" s="55"/>
      <c r="AF35" s="119"/>
      <c r="AH35" s="121"/>
      <c r="AI35" s="55"/>
      <c r="AJ35" s="119"/>
      <c r="AL35" s="121"/>
      <c r="AM35" s="55"/>
      <c r="AN35" s="119"/>
      <c r="AP35" s="121"/>
      <c r="AQ35" s="55"/>
      <c r="AR35" s="146"/>
      <c r="AT35" s="121"/>
      <c r="AU35" s="55"/>
      <c r="AV35" s="146"/>
      <c r="AX35" s="121"/>
      <c r="AY35" s="145"/>
      <c r="AZ35" s="119"/>
    </row>
    <row r="36" spans="1:52" s="114" customFormat="1" ht="24" customHeight="1" thickBot="1">
      <c r="A36" s="7"/>
      <c r="B36" s="61">
        <f>SUM(B8:B35)</f>
        <v>279043</v>
      </c>
      <c r="C36" s="61">
        <f>SUM(C8:C35)</f>
        <v>340701</v>
      </c>
      <c r="D36" s="61">
        <f>SUM(D8:D35)</f>
        <v>61658</v>
      </c>
      <c r="E36" s="63"/>
      <c r="F36" s="61">
        <f>SUM(F8:F35)</f>
        <v>288575</v>
      </c>
      <c r="G36" s="61">
        <f>SUM(G8:G35)</f>
        <v>340701</v>
      </c>
      <c r="H36" s="61">
        <f>SUM(H8:H35)</f>
        <v>52126</v>
      </c>
      <c r="J36" s="61">
        <f>SUM(J8:J35)</f>
        <v>340825</v>
      </c>
      <c r="K36" s="61">
        <f>SUM(K8:K35)</f>
        <v>341005</v>
      </c>
      <c r="L36" s="61">
        <f>SUM(L8:L35)</f>
        <v>180</v>
      </c>
      <c r="N36" s="61">
        <f>SUM(N8:N35)</f>
        <v>314846</v>
      </c>
      <c r="O36" s="61">
        <f>SUM(O8:O35)</f>
        <v>341005</v>
      </c>
      <c r="P36" s="61">
        <f>SUM(P8:P35)</f>
        <v>26159</v>
      </c>
      <c r="R36" s="61">
        <f>SUM(R8:R35)</f>
        <v>284922</v>
      </c>
      <c r="S36" s="61">
        <f>SUM(S8:S35)</f>
        <v>341005</v>
      </c>
      <c r="T36" s="61">
        <f>SUM(T8:T35)</f>
        <v>56083</v>
      </c>
      <c r="V36" s="61">
        <f>SUM(V8:V35)</f>
        <v>369522</v>
      </c>
      <c r="W36" s="61">
        <f>SUM(W8:W35)</f>
        <v>341005</v>
      </c>
      <c r="X36" s="61">
        <f>SUM(X8:X35)</f>
        <v>-28517</v>
      </c>
      <c r="Z36" s="61">
        <f>SUM(Z8:Z35)</f>
        <v>334097</v>
      </c>
      <c r="AA36" s="61">
        <f>SUM(AA8:AA35)</f>
        <v>341005</v>
      </c>
      <c r="AB36" s="61">
        <f>SUM(AB8:AB35)</f>
        <v>6908</v>
      </c>
      <c r="AD36" s="61">
        <f>SUM(AD8:AD35)</f>
        <v>322741</v>
      </c>
      <c r="AE36" s="61">
        <f>SUM(AE8:AE35)</f>
        <v>354319</v>
      </c>
      <c r="AF36" s="61">
        <f>SUM(AF8:AF35)</f>
        <v>31578</v>
      </c>
      <c r="AH36" s="61" t="e">
        <f>SUM(AH8:AH35)</f>
        <v>#REF!</v>
      </c>
      <c r="AI36" s="61">
        <f>SUM(AI8:AI35)</f>
        <v>354319</v>
      </c>
      <c r="AJ36" s="61" t="e">
        <f>SUM(AJ8:AJ35)</f>
        <v>#REF!</v>
      </c>
      <c r="AL36" s="61">
        <f>SUM(AL8:AL35)</f>
        <v>319362</v>
      </c>
      <c r="AM36" s="61">
        <f>SUM(AM8:AM35)</f>
        <v>354319</v>
      </c>
      <c r="AN36" s="61">
        <f>SUM(AN8:AN35)</f>
        <v>34957</v>
      </c>
      <c r="AP36" s="157">
        <f>SUM(AP8:AP35)</f>
        <v>407202</v>
      </c>
      <c r="AQ36" s="157">
        <f>SUM(AQ8:AQ35)</f>
        <v>354317.83333333326</v>
      </c>
      <c r="AR36" s="157">
        <f>SUM(AR8:AR35)</f>
        <v>-52884.166666666686</v>
      </c>
      <c r="AT36" s="157">
        <f>SUM(AT8:AT35)</f>
        <v>640993</v>
      </c>
      <c r="AU36" s="157">
        <f>SUM(AU8:AU35)</f>
        <v>354317.83333333326</v>
      </c>
      <c r="AV36" s="157">
        <f>SUM(AV8:AV35)</f>
        <v>-286675.16666666674</v>
      </c>
      <c r="AX36" s="61">
        <f>SUM(AX8:AX35)</f>
        <v>4349589</v>
      </c>
      <c r="AY36" s="61">
        <f>SUM(AY8:AY35)</f>
        <v>4251826</v>
      </c>
      <c r="AZ36" s="61">
        <f>SUM(AZ8:AZ35)</f>
        <v>-97763.00000000012</v>
      </c>
    </row>
    <row r="37" ht="12" customHeight="1" thickTop="1"/>
  </sheetData>
  <mergeCells count="14">
    <mergeCell ref="A2:AT2"/>
    <mergeCell ref="AT3:AV3"/>
    <mergeCell ref="AX3:AZ3"/>
    <mergeCell ref="AD3:AF3"/>
    <mergeCell ref="Z3:AB3"/>
    <mergeCell ref="J3:L3"/>
    <mergeCell ref="R3:T3"/>
    <mergeCell ref="V3:X3"/>
    <mergeCell ref="N3:P3"/>
    <mergeCell ref="B3:D3"/>
    <mergeCell ref="F3:H3"/>
    <mergeCell ref="AP3:AR3"/>
    <mergeCell ref="AL3:AN3"/>
    <mergeCell ref="AH3:AJ3"/>
  </mergeCells>
  <printOptions/>
  <pageMargins left="0.23" right="0.16" top="0.84" bottom="0.5" header="0.11" footer="0.5"/>
  <pageSetup horizontalDpi="300" verticalDpi="300" orientation="landscape" paperSize="9" scale="95" r:id="rId1"/>
  <headerFooter alignWithMargins="0">
    <oddHeader>&amp;C&amp;"Tahoma,Bold Italic"&amp;16&amp;EDEPARTMENT OF JUSTICE AND CONSTITUTIONAL DEVELOPMENT&amp;"Arial,Regular"&amp;10&amp;E
&amp;"Tahoma,Italic"&amp;16Preliminary Accounts for the period ending 31 March 2003 - R '000&amp;"Arial,Regular"&amp;10
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R121"/>
  <sheetViews>
    <sheetView zoomScale="75" zoomScaleNormal="75" workbookViewId="0" topLeftCell="A79">
      <selection activeCell="R50" sqref="R50"/>
    </sheetView>
  </sheetViews>
  <sheetFormatPr defaultColWidth="9.140625" defaultRowHeight="12.75"/>
  <cols>
    <col min="1" max="1" width="23.8515625" style="0" customWidth="1"/>
    <col min="2" max="4" width="13.00390625" style="0" bestFit="1" customWidth="1"/>
    <col min="5" max="5" width="12.7109375" style="0" bestFit="1" customWidth="1"/>
    <col min="6" max="8" width="13.00390625" style="0" bestFit="1" customWidth="1"/>
    <col min="9" max="9" width="12.7109375" style="0" bestFit="1" customWidth="1"/>
    <col min="10" max="10" width="13.00390625" style="0" bestFit="1" customWidth="1"/>
    <col min="11" max="11" width="12.7109375" style="0" bestFit="1" customWidth="1"/>
    <col min="12" max="12" width="13.8515625" style="144" customWidth="1"/>
    <col min="13" max="13" width="14.00390625" style="156" customWidth="1"/>
  </cols>
  <sheetData>
    <row r="2" spans="1:13" s="65" customFormat="1" ht="15" customHeight="1">
      <c r="A2" s="56"/>
      <c r="B2" s="123" t="s">
        <v>3</v>
      </c>
      <c r="C2" s="123" t="s">
        <v>3</v>
      </c>
      <c r="D2" s="123" t="s">
        <v>3</v>
      </c>
      <c r="E2" s="123" t="s">
        <v>3</v>
      </c>
      <c r="F2" s="123" t="s">
        <v>3</v>
      </c>
      <c r="G2" s="123" t="s">
        <v>3</v>
      </c>
      <c r="H2" s="123" t="s">
        <v>3</v>
      </c>
      <c r="I2" s="123" t="s">
        <v>3</v>
      </c>
      <c r="J2" s="123" t="s">
        <v>3</v>
      </c>
      <c r="K2" s="123" t="s">
        <v>3</v>
      </c>
      <c r="L2" s="139" t="s">
        <v>3</v>
      </c>
      <c r="M2" s="148" t="s">
        <v>3</v>
      </c>
    </row>
    <row r="3" spans="1:13" s="65" customFormat="1" ht="15" customHeight="1">
      <c r="A3" s="56"/>
      <c r="B3" s="124" t="s">
        <v>76</v>
      </c>
      <c r="C3" s="124" t="s">
        <v>106</v>
      </c>
      <c r="D3" s="124" t="s">
        <v>107</v>
      </c>
      <c r="E3" s="124" t="s">
        <v>116</v>
      </c>
      <c r="F3" s="124" t="s">
        <v>122</v>
      </c>
      <c r="G3" s="124" t="s">
        <v>123</v>
      </c>
      <c r="H3" s="124" t="s">
        <v>127</v>
      </c>
      <c r="I3" s="124" t="s">
        <v>128</v>
      </c>
      <c r="J3" s="124" t="s">
        <v>130</v>
      </c>
      <c r="K3" s="124" t="s">
        <v>131</v>
      </c>
      <c r="L3" s="140" t="s">
        <v>135</v>
      </c>
      <c r="M3" s="149" t="s">
        <v>138</v>
      </c>
    </row>
    <row r="4" spans="1:13" s="64" customFormat="1" ht="12" customHeight="1">
      <c r="A4" s="44"/>
      <c r="B4" s="68"/>
      <c r="C4" s="68"/>
      <c r="D4" s="68"/>
      <c r="E4" s="68"/>
      <c r="F4" s="68"/>
      <c r="G4" s="68"/>
      <c r="H4" s="68"/>
      <c r="I4" s="68"/>
      <c r="L4" s="141"/>
      <c r="M4" s="150"/>
    </row>
    <row r="5" spans="1:13" s="64" customFormat="1" ht="12" customHeight="1">
      <c r="A5" s="44" t="s">
        <v>32</v>
      </c>
      <c r="B5" s="68">
        <v>153848</v>
      </c>
      <c r="C5" s="68">
        <v>117323</v>
      </c>
      <c r="D5" s="68">
        <v>163718</v>
      </c>
      <c r="E5" s="68">
        <v>139349</v>
      </c>
      <c r="F5" s="68">
        <v>135289</v>
      </c>
      <c r="G5" s="68">
        <v>195106</v>
      </c>
      <c r="H5" s="68">
        <v>154808</v>
      </c>
      <c r="I5" s="70">
        <v>146189</v>
      </c>
      <c r="J5" s="70">
        <v>156120</v>
      </c>
      <c r="K5" s="68">
        <v>206531</v>
      </c>
      <c r="L5" s="141">
        <v>150685</v>
      </c>
      <c r="M5" s="150">
        <v>300531</v>
      </c>
    </row>
    <row r="6" spans="1:13" s="64" customFormat="1" ht="12" customHeight="1">
      <c r="A6" s="44"/>
      <c r="B6" s="141">
        <v>154437.3333333333</v>
      </c>
      <c r="C6" s="141">
        <v>154437.3333333333</v>
      </c>
      <c r="D6" s="141">
        <v>154437.3333333333</v>
      </c>
      <c r="E6" s="141">
        <v>154437.3333333333</v>
      </c>
      <c r="F6" s="141">
        <v>154437.3333333333</v>
      </c>
      <c r="G6" s="141">
        <v>154437.3333333333</v>
      </c>
      <c r="H6" s="141">
        <v>154437.3333333333</v>
      </c>
      <c r="I6" s="141">
        <v>154437.3333333333</v>
      </c>
      <c r="J6" s="141">
        <v>154437.3333333333</v>
      </c>
      <c r="K6" s="141">
        <v>154437.3333333333</v>
      </c>
      <c r="L6" s="141">
        <v>154437.3333333333</v>
      </c>
      <c r="M6" s="150">
        <v>154437.3333333333</v>
      </c>
    </row>
    <row r="7" spans="1:13" s="64" customFormat="1" ht="12" customHeight="1">
      <c r="A7" s="44"/>
      <c r="B7" s="68"/>
      <c r="C7" s="68"/>
      <c r="D7" s="68"/>
      <c r="E7" s="68"/>
      <c r="F7" s="68"/>
      <c r="G7" s="68"/>
      <c r="H7" s="68"/>
      <c r="I7" s="70"/>
      <c r="J7" s="70"/>
      <c r="K7" s="68"/>
      <c r="L7" s="142"/>
      <c r="M7" s="151"/>
    </row>
    <row r="8" spans="1:13" s="64" customFormat="1" ht="12" customHeight="1">
      <c r="A8" s="44" t="s">
        <v>75</v>
      </c>
      <c r="B8" s="68">
        <v>5328</v>
      </c>
      <c r="C8" s="68">
        <v>4468</v>
      </c>
      <c r="D8" s="68">
        <v>4239</v>
      </c>
      <c r="E8" s="68">
        <v>5303</v>
      </c>
      <c r="F8" s="68">
        <v>4930</v>
      </c>
      <c r="G8" s="68">
        <v>4865</v>
      </c>
      <c r="H8" s="68">
        <v>5006</v>
      </c>
      <c r="I8" s="70">
        <v>5198</v>
      </c>
      <c r="J8" s="70">
        <v>4780</v>
      </c>
      <c r="K8" s="68">
        <v>5010</v>
      </c>
      <c r="L8" s="141">
        <v>6693</v>
      </c>
      <c r="M8" s="150">
        <v>7522</v>
      </c>
    </row>
    <row r="9" spans="1:13" s="64" customFormat="1" ht="12" customHeight="1">
      <c r="A9" s="44"/>
      <c r="B9" s="68">
        <v>5993.333333333333</v>
      </c>
      <c r="C9" s="68">
        <v>5993.333333333333</v>
      </c>
      <c r="D9" s="68">
        <v>5993.333333333333</v>
      </c>
      <c r="E9" s="68">
        <v>5993.333333333333</v>
      </c>
      <c r="F9" s="68">
        <v>5993.333333333333</v>
      </c>
      <c r="G9" s="68">
        <v>5993.333333333333</v>
      </c>
      <c r="H9" s="68">
        <v>5993.333333333333</v>
      </c>
      <c r="I9" s="68">
        <v>5993.333333333333</v>
      </c>
      <c r="J9" s="68">
        <v>5993.333333333333</v>
      </c>
      <c r="K9" s="68">
        <v>5993.333333333333</v>
      </c>
      <c r="L9" s="68">
        <v>5993.333333333333</v>
      </c>
      <c r="M9" s="151">
        <v>5993.333333333333</v>
      </c>
    </row>
    <row r="10" spans="1:13" s="64" customFormat="1" ht="12" customHeight="1">
      <c r="A10" s="44"/>
      <c r="B10" s="68"/>
      <c r="C10" s="68"/>
      <c r="D10" s="68"/>
      <c r="E10" s="68"/>
      <c r="F10" s="68"/>
      <c r="G10" s="68"/>
      <c r="H10" s="68"/>
      <c r="I10" s="70"/>
      <c r="J10" s="70"/>
      <c r="K10" s="68"/>
      <c r="L10" s="141"/>
      <c r="M10" s="151"/>
    </row>
    <row r="11" spans="1:13" s="64" customFormat="1" ht="12" customHeight="1">
      <c r="A11" s="44" t="s">
        <v>74</v>
      </c>
      <c r="B11" s="68">
        <v>10039</v>
      </c>
      <c r="C11" s="68">
        <v>9442</v>
      </c>
      <c r="D11" s="68">
        <v>9235</v>
      </c>
      <c r="E11" s="68">
        <v>9042</v>
      </c>
      <c r="F11" s="68">
        <v>10714</v>
      </c>
      <c r="G11" s="68">
        <v>9477</v>
      </c>
      <c r="H11" s="68">
        <v>9311</v>
      </c>
      <c r="I11" s="70">
        <v>8565</v>
      </c>
      <c r="J11" s="70">
        <v>8388</v>
      </c>
      <c r="K11" s="68">
        <v>5926</v>
      </c>
      <c r="L11" s="141">
        <v>19974</v>
      </c>
      <c r="M11" s="150">
        <v>2487</v>
      </c>
    </row>
    <row r="12" spans="1:13" s="64" customFormat="1" ht="12" customHeight="1">
      <c r="A12" s="44"/>
      <c r="B12" s="118">
        <v>9109.75</v>
      </c>
      <c r="C12" s="118">
        <v>9109.75</v>
      </c>
      <c r="D12" s="118">
        <v>9109.75</v>
      </c>
      <c r="E12" s="118">
        <v>9109.75</v>
      </c>
      <c r="F12" s="118">
        <v>9109.75</v>
      </c>
      <c r="G12" s="118">
        <v>9109.75</v>
      </c>
      <c r="H12" s="118">
        <v>9109.75</v>
      </c>
      <c r="I12" s="118">
        <v>9109.75</v>
      </c>
      <c r="J12" s="118">
        <v>9109.75</v>
      </c>
      <c r="K12" s="118">
        <v>9109.75</v>
      </c>
      <c r="L12" s="118">
        <v>9109.75</v>
      </c>
      <c r="M12" s="152">
        <v>9109.75</v>
      </c>
    </row>
    <row r="13" spans="1:13" s="64" customFormat="1" ht="12" customHeight="1">
      <c r="A13" s="44"/>
      <c r="B13" s="68"/>
      <c r="C13" s="68"/>
      <c r="D13" s="68"/>
      <c r="E13" s="68"/>
      <c r="F13" s="68"/>
      <c r="G13" s="68"/>
      <c r="H13" s="68"/>
      <c r="I13" s="70"/>
      <c r="J13" s="70"/>
      <c r="K13" s="68"/>
      <c r="L13" s="141"/>
      <c r="M13" s="151"/>
    </row>
    <row r="14" spans="1:13" s="64" customFormat="1" ht="12" customHeight="1">
      <c r="A14" s="44" t="s">
        <v>96</v>
      </c>
      <c r="B14" s="68">
        <v>1240</v>
      </c>
      <c r="C14" s="68">
        <v>1285</v>
      </c>
      <c r="D14" s="68">
        <v>1439</v>
      </c>
      <c r="E14" s="68">
        <v>1873</v>
      </c>
      <c r="F14" s="68">
        <v>1724</v>
      </c>
      <c r="G14" s="68">
        <v>1436</v>
      </c>
      <c r="H14" s="68">
        <v>1498</v>
      </c>
      <c r="I14" s="70">
        <v>1404</v>
      </c>
      <c r="J14" s="70">
        <v>1642</v>
      </c>
      <c r="K14" s="68">
        <v>1378</v>
      </c>
      <c r="L14" s="141">
        <v>1532</v>
      </c>
      <c r="M14" s="150">
        <v>1906</v>
      </c>
    </row>
    <row r="15" spans="1:13" s="64" customFormat="1" ht="12" customHeight="1">
      <c r="A15" s="44"/>
      <c r="B15" s="141">
        <v>1692.5833333333333</v>
      </c>
      <c r="C15" s="141">
        <v>1692.5833333333333</v>
      </c>
      <c r="D15" s="141">
        <v>1692.5833333333333</v>
      </c>
      <c r="E15" s="141">
        <v>1692.5833333333333</v>
      </c>
      <c r="F15" s="141">
        <v>1692.5833333333333</v>
      </c>
      <c r="G15" s="141">
        <v>1692.5833333333333</v>
      </c>
      <c r="H15" s="141">
        <v>1692.5833333333333</v>
      </c>
      <c r="I15" s="141">
        <v>1692.5833333333333</v>
      </c>
      <c r="J15" s="141">
        <v>1692.5833333333333</v>
      </c>
      <c r="K15" s="141">
        <v>1692.5833333333333</v>
      </c>
      <c r="L15" s="141">
        <v>1692.5833333333333</v>
      </c>
      <c r="M15" s="150">
        <v>1692.5833333333333</v>
      </c>
    </row>
    <row r="16" spans="1:13" s="64" customFormat="1" ht="12" customHeight="1">
      <c r="A16" s="44"/>
      <c r="B16" s="68"/>
      <c r="C16" s="68"/>
      <c r="D16" s="68"/>
      <c r="E16" s="68"/>
      <c r="F16" s="68"/>
      <c r="G16" s="68"/>
      <c r="H16" s="68"/>
      <c r="I16" s="70"/>
      <c r="J16" s="70"/>
      <c r="K16" s="68"/>
      <c r="L16" s="141"/>
      <c r="M16" s="151"/>
    </row>
    <row r="17" spans="1:13" s="64" customFormat="1" ht="12" customHeight="1">
      <c r="A17" s="44" t="s">
        <v>119</v>
      </c>
      <c r="B17" s="68">
        <v>859</v>
      </c>
      <c r="C17" s="68">
        <v>1361</v>
      </c>
      <c r="D17" s="68">
        <v>815</v>
      </c>
      <c r="E17" s="68">
        <v>1177</v>
      </c>
      <c r="F17" s="68">
        <v>966</v>
      </c>
      <c r="G17" s="68">
        <v>976</v>
      </c>
      <c r="H17" s="68">
        <v>1070</v>
      </c>
      <c r="I17" s="70">
        <v>1215</v>
      </c>
      <c r="J17" s="70">
        <v>1041</v>
      </c>
      <c r="K17" s="68">
        <v>805</v>
      </c>
      <c r="L17" s="141">
        <v>872</v>
      </c>
      <c r="M17" s="150">
        <v>618</v>
      </c>
    </row>
    <row r="18" spans="1:13" s="64" customFormat="1" ht="12" customHeight="1">
      <c r="A18" s="44"/>
      <c r="B18" s="141">
        <v>896.75</v>
      </c>
      <c r="C18" s="141">
        <v>896.75</v>
      </c>
      <c r="D18" s="141">
        <v>896.75</v>
      </c>
      <c r="E18" s="141">
        <v>896.75</v>
      </c>
      <c r="F18" s="141">
        <v>896.75</v>
      </c>
      <c r="G18" s="141">
        <v>896.75</v>
      </c>
      <c r="H18" s="141">
        <v>896.75</v>
      </c>
      <c r="I18" s="141">
        <v>896.75</v>
      </c>
      <c r="J18" s="141">
        <v>896.75</v>
      </c>
      <c r="K18" s="141">
        <v>896.75</v>
      </c>
      <c r="L18" s="141">
        <v>896.75</v>
      </c>
      <c r="M18" s="150">
        <v>896.75</v>
      </c>
    </row>
    <row r="19" spans="1:13" s="64" customFormat="1" ht="12" customHeight="1">
      <c r="A19" s="44"/>
      <c r="B19" s="68"/>
      <c r="C19" s="68"/>
      <c r="D19" s="68"/>
      <c r="E19" s="68"/>
      <c r="F19" s="68"/>
      <c r="G19" s="68"/>
      <c r="H19" s="68"/>
      <c r="I19" s="70"/>
      <c r="J19" s="70"/>
      <c r="K19" s="68"/>
      <c r="L19" s="141"/>
      <c r="M19" s="151"/>
    </row>
    <row r="20" spans="1:13" s="64" customFormat="1" ht="12" customHeight="1">
      <c r="A20" s="44" t="s">
        <v>87</v>
      </c>
      <c r="B20" s="68">
        <v>1171</v>
      </c>
      <c r="C20" s="68">
        <v>740</v>
      </c>
      <c r="D20" s="68">
        <v>768</v>
      </c>
      <c r="E20" s="68">
        <v>734</v>
      </c>
      <c r="F20" s="68">
        <v>646</v>
      </c>
      <c r="G20" s="68">
        <v>823</v>
      </c>
      <c r="H20" s="68">
        <v>808</v>
      </c>
      <c r="I20" s="70">
        <v>941</v>
      </c>
      <c r="J20" s="70">
        <v>932</v>
      </c>
      <c r="K20" s="68">
        <v>454</v>
      </c>
      <c r="L20" s="141">
        <v>1929</v>
      </c>
      <c r="M20" s="150">
        <v>2076</v>
      </c>
    </row>
    <row r="21" spans="1:13" s="64" customFormat="1" ht="12" customHeight="1">
      <c r="A21" s="44"/>
      <c r="B21" s="141">
        <v>1962.5833333333333</v>
      </c>
      <c r="C21" s="141">
        <v>1962.5833333333333</v>
      </c>
      <c r="D21" s="141">
        <v>1962.5833333333333</v>
      </c>
      <c r="E21" s="141">
        <v>1962.5833333333333</v>
      </c>
      <c r="F21" s="141">
        <v>1962.5833333333333</v>
      </c>
      <c r="G21" s="141">
        <v>1962.5833333333333</v>
      </c>
      <c r="H21" s="141">
        <v>1962.5833333333333</v>
      </c>
      <c r="I21" s="141">
        <v>1962.5833333333333</v>
      </c>
      <c r="J21" s="141">
        <v>1962.5833333333333</v>
      </c>
      <c r="K21" s="141">
        <v>1962.5833333333333</v>
      </c>
      <c r="L21" s="141">
        <v>1962.5833333333333</v>
      </c>
      <c r="M21" s="150">
        <v>1962.5833333333333</v>
      </c>
    </row>
    <row r="22" spans="1:13" s="64" customFormat="1" ht="12" customHeight="1">
      <c r="A22" s="44"/>
      <c r="B22" s="68"/>
      <c r="C22" s="68"/>
      <c r="D22" s="68"/>
      <c r="E22" s="68"/>
      <c r="F22" s="68"/>
      <c r="G22" s="68"/>
      <c r="H22" s="68"/>
      <c r="I22" s="70"/>
      <c r="J22" s="70"/>
      <c r="K22" s="68"/>
      <c r="L22" s="141"/>
      <c r="M22" s="151"/>
    </row>
    <row r="23" spans="1:13" s="64" customFormat="1" ht="12" customHeight="1">
      <c r="A23" s="44" t="s">
        <v>88</v>
      </c>
      <c r="B23" s="68">
        <v>4108</v>
      </c>
      <c r="C23" s="68">
        <v>7533</v>
      </c>
      <c r="D23" s="68">
        <v>3242</v>
      </c>
      <c r="E23" s="68">
        <v>4352</v>
      </c>
      <c r="F23" s="68">
        <v>4045</v>
      </c>
      <c r="G23" s="68">
        <v>10396</v>
      </c>
      <c r="H23" s="68">
        <v>5050</v>
      </c>
      <c r="I23" s="70">
        <v>3063</v>
      </c>
      <c r="J23" s="70">
        <v>7819</v>
      </c>
      <c r="K23" s="68">
        <v>5224</v>
      </c>
      <c r="L23" s="141">
        <v>11731</v>
      </c>
      <c r="M23" s="150">
        <v>7470</v>
      </c>
    </row>
    <row r="24" spans="1:13" s="64" customFormat="1" ht="12" customHeight="1">
      <c r="A24" s="44"/>
      <c r="B24" s="141">
        <v>7228.25</v>
      </c>
      <c r="C24" s="141">
        <v>7228.25</v>
      </c>
      <c r="D24" s="141">
        <v>7228.25</v>
      </c>
      <c r="E24" s="141">
        <v>7228.25</v>
      </c>
      <c r="F24" s="141">
        <v>7228.25</v>
      </c>
      <c r="G24" s="141">
        <v>7228.25</v>
      </c>
      <c r="H24" s="141">
        <v>7228.25</v>
      </c>
      <c r="I24" s="141">
        <v>7228.25</v>
      </c>
      <c r="J24" s="141">
        <v>7228.25</v>
      </c>
      <c r="K24" s="141">
        <v>7228.25</v>
      </c>
      <c r="L24" s="141">
        <v>7228.25</v>
      </c>
      <c r="M24" s="150">
        <v>7228.25</v>
      </c>
    </row>
    <row r="25" spans="1:13" s="64" customFormat="1" ht="12" customHeight="1">
      <c r="A25" s="44"/>
      <c r="B25" s="68"/>
      <c r="C25" s="68"/>
      <c r="D25" s="68"/>
      <c r="E25" s="68"/>
      <c r="F25" s="68"/>
      <c r="G25" s="68"/>
      <c r="H25" s="68"/>
      <c r="I25" s="70"/>
      <c r="J25" s="70"/>
      <c r="K25" s="68"/>
      <c r="L25" s="141"/>
      <c r="M25" s="151"/>
    </row>
    <row r="26" spans="1:13" s="64" customFormat="1" ht="12" customHeight="1">
      <c r="A26" s="44" t="s">
        <v>89</v>
      </c>
      <c r="B26" s="68">
        <v>4574</v>
      </c>
      <c r="C26" s="68">
        <v>3655</v>
      </c>
      <c r="D26" s="68">
        <v>5139</v>
      </c>
      <c r="E26" s="68">
        <v>8651</v>
      </c>
      <c r="F26" s="68">
        <v>7827</v>
      </c>
      <c r="G26" s="68">
        <v>7354</v>
      </c>
      <c r="H26" s="68">
        <v>2391</v>
      </c>
      <c r="I26" s="70">
        <v>7028</v>
      </c>
      <c r="J26" s="70">
        <v>7556</v>
      </c>
      <c r="K26" s="68">
        <v>3905</v>
      </c>
      <c r="L26" s="141">
        <v>6942</v>
      </c>
      <c r="M26" s="150">
        <v>10740</v>
      </c>
    </row>
    <row r="27" spans="1:13" s="64" customFormat="1" ht="12" customHeight="1">
      <c r="A27" s="44"/>
      <c r="B27" s="141">
        <v>5902.25</v>
      </c>
      <c r="C27" s="141">
        <v>5902.25</v>
      </c>
      <c r="D27" s="141">
        <v>5902.25</v>
      </c>
      <c r="E27" s="141">
        <v>5902.25</v>
      </c>
      <c r="F27" s="141">
        <v>5902.25</v>
      </c>
      <c r="G27" s="141">
        <v>5902.25</v>
      </c>
      <c r="H27" s="141">
        <v>5902.25</v>
      </c>
      <c r="I27" s="141">
        <v>5902.25</v>
      </c>
      <c r="J27" s="141">
        <v>5902.25</v>
      </c>
      <c r="K27" s="141">
        <v>5902.25</v>
      </c>
      <c r="L27" s="141">
        <v>5902.25</v>
      </c>
      <c r="M27" s="150">
        <v>5902.25</v>
      </c>
    </row>
    <row r="28" spans="1:13" s="64" customFormat="1" ht="12" customHeight="1">
      <c r="A28" s="44"/>
      <c r="B28" s="68"/>
      <c r="C28" s="68"/>
      <c r="D28" s="68"/>
      <c r="E28" s="68"/>
      <c r="F28" s="68"/>
      <c r="G28" s="68"/>
      <c r="H28" s="68"/>
      <c r="I28" s="70"/>
      <c r="J28" s="70"/>
      <c r="K28" s="68"/>
      <c r="L28" s="141"/>
      <c r="M28" s="151"/>
    </row>
    <row r="29" spans="1:13" s="64" customFormat="1" ht="12" customHeight="1">
      <c r="A29" s="44" t="s">
        <v>91</v>
      </c>
      <c r="B29" s="68">
        <v>11342</v>
      </c>
      <c r="C29" s="68">
        <v>-6584</v>
      </c>
      <c r="D29" s="68">
        <v>5467</v>
      </c>
      <c r="E29" s="68">
        <v>21636</v>
      </c>
      <c r="F29" s="68">
        <v>7599</v>
      </c>
      <c r="G29" s="68">
        <v>6627</v>
      </c>
      <c r="H29" s="68">
        <v>11637</v>
      </c>
      <c r="I29" s="70">
        <v>10076</v>
      </c>
      <c r="J29" s="70">
        <v>8320</v>
      </c>
      <c r="K29" s="68">
        <v>9872</v>
      </c>
      <c r="L29" s="141">
        <v>65776</v>
      </c>
      <c r="M29" s="150">
        <v>13408</v>
      </c>
    </row>
    <row r="30" spans="1:13" s="64" customFormat="1" ht="12" customHeight="1">
      <c r="A30" s="44"/>
      <c r="B30" s="141">
        <v>16051</v>
      </c>
      <c r="C30" s="141">
        <v>16051</v>
      </c>
      <c r="D30" s="141">
        <v>16051</v>
      </c>
      <c r="E30" s="141">
        <v>16051</v>
      </c>
      <c r="F30" s="141">
        <v>16051</v>
      </c>
      <c r="G30" s="141">
        <v>16051</v>
      </c>
      <c r="H30" s="141">
        <v>16051</v>
      </c>
      <c r="I30" s="141">
        <v>16051</v>
      </c>
      <c r="J30" s="141">
        <v>16051</v>
      </c>
      <c r="K30" s="141">
        <v>16051</v>
      </c>
      <c r="L30" s="141">
        <v>16051</v>
      </c>
      <c r="M30" s="150">
        <v>16051</v>
      </c>
    </row>
    <row r="31" spans="1:13" s="64" customFormat="1" ht="12" customHeight="1">
      <c r="A31" s="44"/>
      <c r="B31" s="68"/>
      <c r="C31" s="68"/>
      <c r="D31" s="68"/>
      <c r="E31" s="68"/>
      <c r="F31" s="68"/>
      <c r="G31" s="68"/>
      <c r="H31" s="68"/>
      <c r="I31" s="70"/>
      <c r="J31" s="70"/>
      <c r="K31" s="68"/>
      <c r="L31" s="141"/>
      <c r="M31" s="151"/>
    </row>
    <row r="32" spans="1:13" s="64" customFormat="1" ht="12" customHeight="1">
      <c r="A32" s="44" t="s">
        <v>90</v>
      </c>
      <c r="B32" s="68">
        <v>942</v>
      </c>
      <c r="C32" s="68">
        <v>1108</v>
      </c>
      <c r="D32" s="68">
        <v>1251</v>
      </c>
      <c r="E32" s="68">
        <v>1366</v>
      </c>
      <c r="F32" s="68">
        <v>1019</v>
      </c>
      <c r="G32" s="68">
        <v>2080</v>
      </c>
      <c r="H32" s="68">
        <v>1523</v>
      </c>
      <c r="I32" s="70">
        <v>790</v>
      </c>
      <c r="J32" s="70">
        <v>740</v>
      </c>
      <c r="K32" s="68">
        <v>380</v>
      </c>
      <c r="L32" s="141">
        <v>716</v>
      </c>
      <c r="M32" s="150">
        <v>1323</v>
      </c>
    </row>
    <row r="33" spans="1:13" s="64" customFormat="1" ht="12" customHeight="1">
      <c r="A33" s="44"/>
      <c r="B33" s="141">
        <v>942.25</v>
      </c>
      <c r="C33" s="141">
        <v>942.25</v>
      </c>
      <c r="D33" s="141">
        <v>942.25</v>
      </c>
      <c r="E33" s="141">
        <v>942.25</v>
      </c>
      <c r="F33" s="141">
        <v>942.25</v>
      </c>
      <c r="G33" s="141">
        <v>942.25</v>
      </c>
      <c r="H33" s="141">
        <v>942.25</v>
      </c>
      <c r="I33" s="141">
        <v>942.25</v>
      </c>
      <c r="J33" s="141">
        <v>942.25</v>
      </c>
      <c r="K33" s="141">
        <v>942.25</v>
      </c>
      <c r="L33" s="141">
        <v>942.25</v>
      </c>
      <c r="M33" s="150">
        <v>942.25</v>
      </c>
    </row>
    <row r="34" spans="1:13" s="64" customFormat="1" ht="12" customHeight="1">
      <c r="A34" s="44"/>
      <c r="B34" s="68"/>
      <c r="C34" s="68"/>
      <c r="D34" s="68"/>
      <c r="E34" s="68"/>
      <c r="F34" s="68"/>
      <c r="G34" s="68"/>
      <c r="H34" s="68"/>
      <c r="I34" s="70"/>
      <c r="J34" s="70"/>
      <c r="K34" s="68"/>
      <c r="L34" s="141"/>
      <c r="M34" s="151"/>
    </row>
    <row r="35" spans="1:13" s="64" customFormat="1" ht="12" customHeight="1">
      <c r="A35" s="44" t="s">
        <v>92</v>
      </c>
      <c r="B35" s="68">
        <v>2719</v>
      </c>
      <c r="C35" s="68">
        <v>59591</v>
      </c>
      <c r="D35" s="68">
        <v>1668</v>
      </c>
      <c r="E35" s="68">
        <v>119412</v>
      </c>
      <c r="F35" s="68">
        <v>57085</v>
      </c>
      <c r="G35" s="68">
        <v>66662</v>
      </c>
      <c r="H35" s="68">
        <v>62469</v>
      </c>
      <c r="I35" s="70">
        <v>72743</v>
      </c>
      <c r="J35" s="70">
        <v>115774</v>
      </c>
      <c r="K35" s="68">
        <v>69296</v>
      </c>
      <c r="L35" s="141">
        <v>79191</v>
      </c>
      <c r="M35" s="64">
        <v>221347</v>
      </c>
    </row>
    <row r="36" spans="1:13" s="64" customFormat="1" ht="12" customHeight="1">
      <c r="A36" s="44"/>
      <c r="B36" s="141">
        <v>78526.33333333333</v>
      </c>
      <c r="C36" s="141">
        <v>78526.33333333333</v>
      </c>
      <c r="D36" s="141">
        <v>78526.33333333333</v>
      </c>
      <c r="E36" s="141">
        <v>78526.33333333333</v>
      </c>
      <c r="F36" s="141">
        <v>78526.33333333333</v>
      </c>
      <c r="G36" s="141">
        <v>78526.33333333333</v>
      </c>
      <c r="H36" s="141">
        <v>78526.33333333333</v>
      </c>
      <c r="I36" s="141">
        <v>78526.33333333333</v>
      </c>
      <c r="J36" s="141">
        <v>78526.33333333333</v>
      </c>
      <c r="K36" s="141">
        <v>78526.33333333333</v>
      </c>
      <c r="L36" s="141">
        <v>78526.33333333333</v>
      </c>
      <c r="M36" s="150">
        <v>78526.33333333333</v>
      </c>
    </row>
    <row r="37" spans="1:13" s="64" customFormat="1" ht="12" customHeight="1">
      <c r="A37" s="44"/>
      <c r="B37" s="68"/>
      <c r="C37" s="68"/>
      <c r="D37" s="68"/>
      <c r="E37" s="68"/>
      <c r="F37" s="68"/>
      <c r="G37" s="68"/>
      <c r="H37" s="68"/>
      <c r="I37" s="70"/>
      <c r="J37" s="70"/>
      <c r="K37" s="68"/>
      <c r="L37" s="141"/>
      <c r="M37" s="151"/>
    </row>
    <row r="38" spans="1:13" s="64" customFormat="1" ht="12" customHeight="1">
      <c r="A38" s="44" t="s">
        <v>97</v>
      </c>
      <c r="B38" s="68">
        <v>82198</v>
      </c>
      <c r="C38" s="68">
        <v>87674</v>
      </c>
      <c r="D38" s="68">
        <v>141094</v>
      </c>
      <c r="E38" s="68">
        <v>0</v>
      </c>
      <c r="F38" s="68">
        <v>61923</v>
      </c>
      <c r="G38" s="68">
        <v>64399</v>
      </c>
      <c r="H38" s="68">
        <v>78332</v>
      </c>
      <c r="I38" s="70">
        <v>62411</v>
      </c>
      <c r="J38" s="70">
        <v>63810</v>
      </c>
      <c r="K38" s="68">
        <v>78602</v>
      </c>
      <c r="L38" s="141">
        <v>62219</v>
      </c>
      <c r="M38" s="150">
        <v>60289</v>
      </c>
    </row>
    <row r="39" spans="1:13" s="64" customFormat="1" ht="12" customHeight="1">
      <c r="A39" s="44"/>
      <c r="B39" s="68">
        <v>67994</v>
      </c>
      <c r="C39" s="68">
        <v>67994</v>
      </c>
      <c r="D39" s="68">
        <v>67994</v>
      </c>
      <c r="E39" s="68">
        <v>67994</v>
      </c>
      <c r="F39" s="68">
        <v>67994</v>
      </c>
      <c r="G39" s="68">
        <v>67994</v>
      </c>
      <c r="H39" s="68">
        <v>67994</v>
      </c>
      <c r="I39" s="70">
        <v>67994</v>
      </c>
      <c r="J39" s="70">
        <v>67994</v>
      </c>
      <c r="K39" s="68">
        <v>67994</v>
      </c>
      <c r="L39" s="68">
        <v>67994</v>
      </c>
      <c r="M39" s="151">
        <v>67994</v>
      </c>
    </row>
    <row r="40" spans="1:13" s="64" customFormat="1" ht="12" customHeight="1">
      <c r="A40" s="44"/>
      <c r="B40" s="68"/>
      <c r="C40" s="68"/>
      <c r="D40" s="68"/>
      <c r="E40" s="68"/>
      <c r="F40" s="68"/>
      <c r="G40" s="68"/>
      <c r="H40" s="68"/>
      <c r="I40" s="70"/>
      <c r="J40" s="70"/>
      <c r="K40" s="68"/>
      <c r="L40" s="141"/>
      <c r="M40" s="151"/>
    </row>
    <row r="41" spans="1:13" s="64" customFormat="1" ht="12" customHeight="1">
      <c r="A41" s="44" t="s">
        <v>104</v>
      </c>
      <c r="B41" s="68">
        <v>675</v>
      </c>
      <c r="C41" s="68">
        <v>979</v>
      </c>
      <c r="D41" s="68">
        <v>2750</v>
      </c>
      <c r="E41" s="68">
        <v>1951</v>
      </c>
      <c r="F41" s="68">
        <v>-8845</v>
      </c>
      <c r="G41" s="68">
        <v>-679</v>
      </c>
      <c r="H41" s="68">
        <v>194</v>
      </c>
      <c r="I41" s="68">
        <f>65529-62411</f>
        <v>3118</v>
      </c>
      <c r="J41" s="70">
        <v>858</v>
      </c>
      <c r="K41" s="68">
        <v>750</v>
      </c>
      <c r="L41" s="141">
        <v>-1058</v>
      </c>
      <c r="M41" s="64">
        <v>11276</v>
      </c>
    </row>
    <row r="42" spans="1:13" s="64" customFormat="1" ht="12" customHeight="1">
      <c r="A42" s="44"/>
      <c r="B42" s="68">
        <f>97+1889</f>
        <v>1986</v>
      </c>
      <c r="C42" s="68">
        <f aca="true" t="shared" si="0" ref="C42:M42">97+1889</f>
        <v>1986</v>
      </c>
      <c r="D42" s="68">
        <f t="shared" si="0"/>
        <v>1986</v>
      </c>
      <c r="E42" s="68">
        <f t="shared" si="0"/>
        <v>1986</v>
      </c>
      <c r="F42" s="68">
        <f t="shared" si="0"/>
        <v>1986</v>
      </c>
      <c r="G42" s="68">
        <f t="shared" si="0"/>
        <v>1986</v>
      </c>
      <c r="H42" s="68">
        <f t="shared" si="0"/>
        <v>1986</v>
      </c>
      <c r="I42" s="68">
        <f t="shared" si="0"/>
        <v>1986</v>
      </c>
      <c r="J42" s="68">
        <f t="shared" si="0"/>
        <v>1986</v>
      </c>
      <c r="K42" s="68">
        <f t="shared" si="0"/>
        <v>1986</v>
      </c>
      <c r="L42" s="68">
        <f t="shared" si="0"/>
        <v>1986</v>
      </c>
      <c r="M42" s="151">
        <f t="shared" si="0"/>
        <v>1986</v>
      </c>
    </row>
    <row r="43" spans="1:13" s="64" customFormat="1" ht="12" customHeight="1">
      <c r="A43" s="44"/>
      <c r="B43" s="68"/>
      <c r="C43" s="68"/>
      <c r="D43" s="68"/>
      <c r="E43" s="68"/>
      <c r="F43" s="68"/>
      <c r="G43" s="68"/>
      <c r="H43" s="68"/>
      <c r="I43" s="68"/>
      <c r="L43" s="141"/>
      <c r="M43" s="150"/>
    </row>
    <row r="44" spans="1:13" s="64" customFormat="1" ht="12" customHeight="1" thickBot="1">
      <c r="A44" s="44"/>
      <c r="B44" s="128">
        <f aca="true" t="shared" si="1" ref="B44:M44">+B20+B23+B26+B29+B32+B35+B38+B41+B17+B14+B11+B8+B5</f>
        <v>279043</v>
      </c>
      <c r="C44" s="127">
        <f t="shared" si="1"/>
        <v>288575</v>
      </c>
      <c r="D44" s="127">
        <f t="shared" si="1"/>
        <v>340825</v>
      </c>
      <c r="E44" s="127">
        <f t="shared" si="1"/>
        <v>314846</v>
      </c>
      <c r="F44" s="127">
        <f t="shared" si="1"/>
        <v>284922</v>
      </c>
      <c r="G44" s="127">
        <f t="shared" si="1"/>
        <v>369522</v>
      </c>
      <c r="H44" s="127">
        <f t="shared" si="1"/>
        <v>334097</v>
      </c>
      <c r="I44" s="129">
        <f t="shared" si="1"/>
        <v>322741</v>
      </c>
      <c r="J44" s="129">
        <f t="shared" si="1"/>
        <v>377780</v>
      </c>
      <c r="K44" s="129">
        <f t="shared" si="1"/>
        <v>388133</v>
      </c>
      <c r="L44" s="143">
        <f t="shared" si="1"/>
        <v>407202</v>
      </c>
      <c r="M44" s="153">
        <f t="shared" si="1"/>
        <v>640993</v>
      </c>
    </row>
    <row r="45" spans="1:15" s="64" customFormat="1" ht="12" customHeight="1" thickTop="1">
      <c r="A45" s="44"/>
      <c r="B45" s="68"/>
      <c r="C45" s="68"/>
      <c r="D45" s="68"/>
      <c r="E45" s="69"/>
      <c r="G45" s="68"/>
      <c r="H45" s="68"/>
      <c r="I45" s="68"/>
      <c r="J45" s="68"/>
      <c r="L45" s="141"/>
      <c r="M45" s="150"/>
      <c r="O45" s="69"/>
    </row>
    <row r="46" spans="1:18" s="64" customFormat="1" ht="12" customHeight="1">
      <c r="A46" s="44"/>
      <c r="B46" s="68"/>
      <c r="C46" s="68"/>
      <c r="D46" s="69"/>
      <c r="E46" s="68"/>
      <c r="F46" s="68"/>
      <c r="G46" s="68"/>
      <c r="H46" s="68"/>
      <c r="I46" s="68"/>
      <c r="J46" s="69"/>
      <c r="L46" s="141"/>
      <c r="M46" s="150"/>
      <c r="P46" s="68"/>
      <c r="Q46" s="68"/>
      <c r="R46" s="69"/>
    </row>
    <row r="47" spans="1:18" s="64" customFormat="1" ht="12" customHeight="1">
      <c r="A47" s="44"/>
      <c r="B47" s="68"/>
      <c r="C47" s="68"/>
      <c r="D47" s="69"/>
      <c r="E47" s="68"/>
      <c r="F47" s="68"/>
      <c r="G47" s="68"/>
      <c r="H47" s="68"/>
      <c r="I47" s="68"/>
      <c r="J47" s="69"/>
      <c r="L47" s="141"/>
      <c r="M47" s="150"/>
      <c r="P47" s="68"/>
      <c r="Q47" s="68"/>
      <c r="R47" s="69"/>
    </row>
    <row r="48" spans="1:14" ht="12.75">
      <c r="A48" s="159" t="s">
        <v>11</v>
      </c>
      <c r="B48" s="159"/>
      <c r="C48" s="159"/>
      <c r="D48" s="159"/>
      <c r="E48" s="159"/>
      <c r="F48" s="29"/>
      <c r="G48" s="29"/>
      <c r="H48" s="29"/>
      <c r="I48" s="68"/>
      <c r="K48" s="64"/>
      <c r="L48" s="141"/>
      <c r="M48" s="150"/>
      <c r="N48" s="64"/>
    </row>
    <row r="49" spans="1:13" ht="12" customHeight="1">
      <c r="A49" s="26" t="s">
        <v>12</v>
      </c>
      <c r="B49" s="32">
        <v>139509</v>
      </c>
      <c r="C49" s="33">
        <v>180671</v>
      </c>
      <c r="D49" s="33">
        <f>13+18720+87510+9124+693</f>
        <v>116060</v>
      </c>
      <c r="E49" s="33">
        <f>17+21225+98558+10946+93472+1060</f>
        <v>225278</v>
      </c>
      <c r="F49" s="33">
        <v>173505</v>
      </c>
      <c r="G49" s="33">
        <v>183653</v>
      </c>
      <c r="H49" s="33">
        <f>152140-132</f>
        <v>152008</v>
      </c>
      <c r="I49" s="33">
        <v>185025</v>
      </c>
      <c r="J49" s="33">
        <v>220795</v>
      </c>
      <c r="K49" s="33">
        <v>188621</v>
      </c>
      <c r="L49" s="141">
        <v>256505</v>
      </c>
      <c r="M49" s="33">
        <v>203689</v>
      </c>
    </row>
    <row r="50" spans="1:14" ht="12" customHeight="1">
      <c r="A50" s="26"/>
      <c r="B50" s="33">
        <v>180624</v>
      </c>
      <c r="C50" s="33">
        <v>180624</v>
      </c>
      <c r="D50" s="33">
        <v>180624</v>
      </c>
      <c r="E50" s="33">
        <v>180624</v>
      </c>
      <c r="F50" s="33">
        <v>180624</v>
      </c>
      <c r="G50" s="33">
        <v>180624</v>
      </c>
      <c r="H50" s="33">
        <v>180624</v>
      </c>
      <c r="I50" s="33">
        <v>180624</v>
      </c>
      <c r="J50" s="33">
        <v>180624</v>
      </c>
      <c r="K50" s="33">
        <v>180624</v>
      </c>
      <c r="L50" s="33">
        <v>180624</v>
      </c>
      <c r="M50" s="154">
        <v>180624</v>
      </c>
      <c r="N50" s="33"/>
    </row>
    <row r="51" spans="1:14" ht="12" customHeight="1">
      <c r="A51" s="26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141"/>
      <c r="M51" s="154"/>
      <c r="N51" s="33"/>
    </row>
    <row r="52" spans="1:13" ht="12" customHeight="1">
      <c r="A52" s="26" t="s">
        <v>13</v>
      </c>
      <c r="B52" s="32">
        <v>14965</v>
      </c>
      <c r="C52" s="33">
        <v>15485</v>
      </c>
      <c r="D52" s="33">
        <f>1330+5149+12049+1181+59+156</f>
        <v>19924</v>
      </c>
      <c r="E52" s="33">
        <f>-396+6173+8543+1201+13495+809</f>
        <v>29825</v>
      </c>
      <c r="F52" s="33">
        <v>19008</v>
      </c>
      <c r="G52" s="33">
        <v>23876</v>
      </c>
      <c r="H52" s="33">
        <v>26251</v>
      </c>
      <c r="I52" s="33">
        <v>25995</v>
      </c>
      <c r="J52" s="33">
        <v>24641</v>
      </c>
      <c r="K52" s="33">
        <v>21493</v>
      </c>
      <c r="L52" s="141">
        <v>28338</v>
      </c>
      <c r="M52" s="33">
        <v>45798</v>
      </c>
    </row>
    <row r="53" spans="1:14" ht="12" customHeight="1">
      <c r="A53" s="26"/>
      <c r="B53" s="33">
        <v>21448</v>
      </c>
      <c r="C53" s="33">
        <v>21448</v>
      </c>
      <c r="D53" s="33">
        <v>21448</v>
      </c>
      <c r="E53" s="33">
        <v>21448</v>
      </c>
      <c r="F53" s="33">
        <v>21448</v>
      </c>
      <c r="G53" s="33">
        <v>21448</v>
      </c>
      <c r="H53" s="33">
        <v>21448</v>
      </c>
      <c r="I53" s="33">
        <v>21448</v>
      </c>
      <c r="J53" s="33">
        <v>21448</v>
      </c>
      <c r="K53" s="33">
        <v>21448</v>
      </c>
      <c r="L53" s="33">
        <v>21448</v>
      </c>
      <c r="M53" s="154">
        <v>21448</v>
      </c>
      <c r="N53" s="33"/>
    </row>
    <row r="54" spans="1:14" ht="12" customHeight="1">
      <c r="A54" s="26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141"/>
      <c r="M54" s="154"/>
      <c r="N54" s="33"/>
    </row>
    <row r="55" spans="1:13" ht="12" customHeight="1">
      <c r="A55" s="26" t="s">
        <v>14</v>
      </c>
      <c r="B55" s="32">
        <v>5721</v>
      </c>
      <c r="C55" s="33">
        <v>4724</v>
      </c>
      <c r="D55" s="33">
        <f>1187+3597+176+30</f>
        <v>4990</v>
      </c>
      <c r="E55" s="33">
        <f>906+3349+395+1344+24</f>
        <v>6018</v>
      </c>
      <c r="F55" s="33">
        <v>5019</v>
      </c>
      <c r="G55" s="33">
        <v>5867</v>
      </c>
      <c r="H55" s="33">
        <v>4541</v>
      </c>
      <c r="I55" s="33">
        <v>5192</v>
      </c>
      <c r="J55" s="33">
        <v>4880</v>
      </c>
      <c r="K55" s="33">
        <v>5217</v>
      </c>
      <c r="L55" s="141">
        <v>5580</v>
      </c>
      <c r="M55" s="33">
        <v>68920</v>
      </c>
    </row>
    <row r="56" spans="1:14" ht="12" customHeight="1">
      <c r="A56" s="26"/>
      <c r="B56" s="33">
        <v>8278</v>
      </c>
      <c r="C56" s="33">
        <v>8278</v>
      </c>
      <c r="D56" s="33">
        <v>8278</v>
      </c>
      <c r="E56" s="33">
        <v>8278</v>
      </c>
      <c r="F56" s="33">
        <v>8278</v>
      </c>
      <c r="G56" s="33">
        <v>8278</v>
      </c>
      <c r="H56" s="33">
        <v>8278</v>
      </c>
      <c r="I56" s="33">
        <v>8278</v>
      </c>
      <c r="J56" s="33">
        <v>8278</v>
      </c>
      <c r="K56" s="33">
        <v>8278</v>
      </c>
      <c r="L56" s="33">
        <v>8278</v>
      </c>
      <c r="M56" s="154">
        <v>8278</v>
      </c>
      <c r="N56" s="33"/>
    </row>
    <row r="57" spans="1:14" ht="12" customHeight="1">
      <c r="A57" s="26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141"/>
      <c r="M57" s="154"/>
      <c r="N57" s="33"/>
    </row>
    <row r="58" spans="1:13" ht="12" customHeight="1">
      <c r="A58" s="26" t="s">
        <v>15</v>
      </c>
      <c r="B58" s="32">
        <v>18074</v>
      </c>
      <c r="C58" s="33">
        <v>-2855</v>
      </c>
      <c r="D58" s="33">
        <f>948+3331+60+2975</f>
        <v>7314</v>
      </c>
      <c r="E58" s="33">
        <f>1766+4356+115+332+11572</f>
        <v>18141</v>
      </c>
      <c r="F58" s="33">
        <v>8322</v>
      </c>
      <c r="G58" s="33">
        <v>8669</v>
      </c>
      <c r="H58" s="33">
        <v>7003</v>
      </c>
      <c r="I58" s="33">
        <v>5246</v>
      </c>
      <c r="J58" s="33">
        <v>9153</v>
      </c>
      <c r="K58" s="33">
        <v>6119</v>
      </c>
      <c r="L58" s="141">
        <v>14805</v>
      </c>
      <c r="M58" s="33">
        <v>47971</v>
      </c>
    </row>
    <row r="59" spans="1:14" ht="12" customHeight="1">
      <c r="A59" s="26"/>
      <c r="B59" s="33">
        <v>15511</v>
      </c>
      <c r="C59" s="33">
        <v>15511</v>
      </c>
      <c r="D59" s="33">
        <v>15511</v>
      </c>
      <c r="E59" s="33">
        <v>15511</v>
      </c>
      <c r="F59" s="33">
        <v>15511</v>
      </c>
      <c r="G59" s="33">
        <v>15511</v>
      </c>
      <c r="H59" s="33">
        <v>15511</v>
      </c>
      <c r="I59" s="33">
        <v>15511</v>
      </c>
      <c r="J59" s="33">
        <v>15511</v>
      </c>
      <c r="K59" s="33">
        <v>15511</v>
      </c>
      <c r="L59" s="33">
        <v>15511</v>
      </c>
      <c r="M59" s="154">
        <v>15511</v>
      </c>
      <c r="N59" s="33"/>
    </row>
    <row r="60" spans="1:14" ht="12" customHeight="1">
      <c r="A60" s="26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141"/>
      <c r="M60" s="154"/>
      <c r="N60" s="33"/>
    </row>
    <row r="61" spans="1:13" ht="12" customHeight="1">
      <c r="A61" s="26" t="s">
        <v>16</v>
      </c>
      <c r="B61" s="32">
        <v>31</v>
      </c>
      <c r="C61" s="33">
        <v>1</v>
      </c>
      <c r="D61" s="33">
        <v>30497</v>
      </c>
      <c r="E61" s="33">
        <f>15+3</f>
        <v>18</v>
      </c>
      <c r="F61" s="33">
        <v>174</v>
      </c>
      <c r="G61" s="33">
        <v>57602</v>
      </c>
      <c r="H61" s="33">
        <v>32202</v>
      </c>
      <c r="I61" s="33">
        <v>204</v>
      </c>
      <c r="J61" s="33">
        <v>3879</v>
      </c>
      <c r="K61" s="33">
        <v>61139</v>
      </c>
      <c r="L61" s="141">
        <v>5768</v>
      </c>
      <c r="M61" s="33">
        <v>87299</v>
      </c>
    </row>
    <row r="62" spans="1:14" ht="12" customHeight="1">
      <c r="A62" s="26"/>
      <c r="B62" s="33">
        <v>24072</v>
      </c>
      <c r="C62" s="33">
        <v>24072</v>
      </c>
      <c r="D62" s="33">
        <v>24072</v>
      </c>
      <c r="E62" s="33">
        <v>24072</v>
      </c>
      <c r="F62" s="33">
        <v>24072</v>
      </c>
      <c r="G62" s="33">
        <v>24072</v>
      </c>
      <c r="H62" s="33">
        <v>24072</v>
      </c>
      <c r="I62" s="33">
        <v>24072</v>
      </c>
      <c r="J62" s="33">
        <v>24072</v>
      </c>
      <c r="K62" s="33">
        <v>24072</v>
      </c>
      <c r="L62" s="33">
        <v>24072</v>
      </c>
      <c r="M62" s="154">
        <v>24072</v>
      </c>
      <c r="N62" s="33"/>
    </row>
    <row r="63" spans="1:14" ht="12" customHeight="1">
      <c r="A63" s="26"/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141"/>
      <c r="M63" s="154"/>
      <c r="N63" s="33"/>
    </row>
    <row r="64" spans="1:13" ht="12" customHeight="1">
      <c r="A64" s="54" t="s">
        <v>17</v>
      </c>
      <c r="B64" s="32">
        <v>16502</v>
      </c>
      <c r="C64" s="33">
        <v>23618</v>
      </c>
      <c r="D64" s="33">
        <f>4574+7446+734+3811</f>
        <v>16565</v>
      </c>
      <c r="E64" s="33">
        <f>5207+8058+601+8266+8280</f>
        <v>30412</v>
      </c>
      <c r="F64" s="33">
        <v>15778</v>
      </c>
      <c r="G64" s="33">
        <v>27302</v>
      </c>
      <c r="H64" s="33">
        <v>29877</v>
      </c>
      <c r="I64" s="33">
        <v>30270</v>
      </c>
      <c r="J64" s="33">
        <v>45217</v>
      </c>
      <c r="K64" s="33">
        <v>28543</v>
      </c>
      <c r="L64" s="141">
        <v>30900</v>
      </c>
      <c r="M64" s="33">
        <v>59414</v>
      </c>
    </row>
    <row r="65" spans="1:14" ht="12" customHeight="1">
      <c r="A65" s="54"/>
      <c r="B65" s="33">
        <v>29529</v>
      </c>
      <c r="C65" s="33">
        <v>29529</v>
      </c>
      <c r="D65" s="33">
        <v>29529</v>
      </c>
      <c r="E65" s="33">
        <v>29529</v>
      </c>
      <c r="F65" s="33">
        <v>29529</v>
      </c>
      <c r="G65" s="33">
        <v>29529</v>
      </c>
      <c r="H65" s="33">
        <v>29529</v>
      </c>
      <c r="I65" s="33">
        <v>29529</v>
      </c>
      <c r="J65" s="33">
        <v>29529</v>
      </c>
      <c r="K65" s="33">
        <v>29529</v>
      </c>
      <c r="L65" s="33">
        <v>29529</v>
      </c>
      <c r="M65" s="154">
        <v>29529</v>
      </c>
      <c r="N65" s="33"/>
    </row>
    <row r="66" spans="1:14" ht="12" customHeight="1">
      <c r="A66" s="54"/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141"/>
      <c r="M66" s="154"/>
      <c r="N66" s="33"/>
    </row>
    <row r="67" spans="1:13" ht="12" customHeight="1">
      <c r="A67" s="26" t="s">
        <v>18</v>
      </c>
      <c r="B67" s="32">
        <v>79152</v>
      </c>
      <c r="C67" s="33">
        <v>62412</v>
      </c>
      <c r="D67" s="33">
        <v>140745</v>
      </c>
      <c r="E67" s="33">
        <v>0</v>
      </c>
      <c r="F67" s="33">
        <v>62812</v>
      </c>
      <c r="G67" s="33">
        <v>64312</v>
      </c>
      <c r="H67" s="33">
        <v>78332</v>
      </c>
      <c r="I67" s="33">
        <v>62411</v>
      </c>
      <c r="J67" s="33">
        <v>63865</v>
      </c>
      <c r="K67" s="33">
        <v>78575</v>
      </c>
      <c r="L67" s="141">
        <v>62655</v>
      </c>
      <c r="M67" s="33">
        <v>60656</v>
      </c>
    </row>
    <row r="68" spans="1:14" ht="12" customHeight="1">
      <c r="A68" s="26"/>
      <c r="B68" s="33">
        <v>67994</v>
      </c>
      <c r="C68" s="33">
        <v>67994</v>
      </c>
      <c r="D68" s="33">
        <v>67994</v>
      </c>
      <c r="E68" s="33">
        <v>67994</v>
      </c>
      <c r="F68" s="33">
        <v>67994</v>
      </c>
      <c r="G68" s="33">
        <v>67994</v>
      </c>
      <c r="H68" s="33">
        <v>67994</v>
      </c>
      <c r="I68" s="33">
        <v>67994</v>
      </c>
      <c r="J68" s="33">
        <v>67994</v>
      </c>
      <c r="K68" s="33">
        <v>67994</v>
      </c>
      <c r="L68" s="33">
        <v>67994</v>
      </c>
      <c r="M68" s="154">
        <v>67994</v>
      </c>
      <c r="N68" s="33"/>
    </row>
    <row r="69" spans="1:14" ht="12" customHeight="1">
      <c r="A69" s="26"/>
      <c r="B69" s="39"/>
      <c r="C69" s="46"/>
      <c r="D69" s="46"/>
      <c r="E69" s="46"/>
      <c r="F69" s="46"/>
      <c r="G69" s="46"/>
      <c r="H69" s="46"/>
      <c r="I69" s="33"/>
      <c r="J69" s="33"/>
      <c r="K69" s="33"/>
      <c r="L69" s="141"/>
      <c r="M69" s="154"/>
      <c r="N69" s="33"/>
    </row>
    <row r="70" spans="1:13" ht="12" customHeight="1">
      <c r="A70" s="26" t="s">
        <v>19</v>
      </c>
      <c r="B70" s="39">
        <v>5089</v>
      </c>
      <c r="C70" s="46">
        <v>4519</v>
      </c>
      <c r="D70" s="46">
        <f>684+2512+1534</f>
        <v>4730</v>
      </c>
      <c r="E70" s="46">
        <f>106+17+2603+2427+1</f>
        <v>5154</v>
      </c>
      <c r="F70" s="46">
        <v>304</v>
      </c>
      <c r="G70" s="46">
        <v>-1759</v>
      </c>
      <c r="H70" s="46">
        <v>3883</v>
      </c>
      <c r="I70" s="33">
        <v>8398</v>
      </c>
      <c r="J70" s="33">
        <v>5350</v>
      </c>
      <c r="K70" s="33">
        <v>-965</v>
      </c>
      <c r="L70" s="141">
        <v>2651</v>
      </c>
      <c r="M70" s="33">
        <v>67246</v>
      </c>
    </row>
    <row r="71" spans="1:14" ht="12" customHeight="1">
      <c r="A71" s="26"/>
      <c r="B71" s="46">
        <v>6863</v>
      </c>
      <c r="C71" s="46">
        <v>6863</v>
      </c>
      <c r="D71" s="46">
        <v>6863</v>
      </c>
      <c r="E71" s="46">
        <v>6863</v>
      </c>
      <c r="F71" s="46">
        <v>6863</v>
      </c>
      <c r="G71" s="46">
        <v>6863</v>
      </c>
      <c r="H71" s="46">
        <v>6863</v>
      </c>
      <c r="I71" s="46">
        <v>6863</v>
      </c>
      <c r="J71" s="46">
        <v>6863</v>
      </c>
      <c r="K71" s="46">
        <v>6863</v>
      </c>
      <c r="L71" s="46">
        <v>6863</v>
      </c>
      <c r="M71" s="155">
        <v>6863</v>
      </c>
      <c r="N71" s="68"/>
    </row>
    <row r="72" spans="1:14" ht="12" customHeight="1">
      <c r="A72" s="26"/>
      <c r="B72" s="46"/>
      <c r="C72" s="46"/>
      <c r="D72" s="46"/>
      <c r="E72" s="46"/>
      <c r="F72" s="46"/>
      <c r="G72" s="46"/>
      <c r="H72" s="46"/>
      <c r="I72" s="29"/>
      <c r="K72" s="64"/>
      <c r="L72" s="142"/>
      <c r="M72" s="151"/>
      <c r="N72" s="68"/>
    </row>
    <row r="73" spans="2:14" ht="13.5" thickBot="1">
      <c r="B73" s="127">
        <f>+B49+B52+B55+B58+B61+B64+B67+B70</f>
        <v>279043</v>
      </c>
      <c r="C73" s="127">
        <f aca="true" t="shared" si="2" ref="C73:M73">+C49+C52+C55+C58+C61+C64+C67+C70</f>
        <v>288575</v>
      </c>
      <c r="D73" s="127">
        <f t="shared" si="2"/>
        <v>340825</v>
      </c>
      <c r="E73" s="127">
        <f t="shared" si="2"/>
        <v>314846</v>
      </c>
      <c r="F73" s="127">
        <f t="shared" si="2"/>
        <v>284922</v>
      </c>
      <c r="G73" s="127">
        <f t="shared" si="2"/>
        <v>369522</v>
      </c>
      <c r="H73" s="127">
        <f t="shared" si="2"/>
        <v>334097</v>
      </c>
      <c r="I73" s="127">
        <f t="shared" si="2"/>
        <v>322741</v>
      </c>
      <c r="J73" s="127">
        <f t="shared" si="2"/>
        <v>377780</v>
      </c>
      <c r="K73" s="127">
        <f t="shared" si="2"/>
        <v>388742</v>
      </c>
      <c r="L73" s="127">
        <f t="shared" si="2"/>
        <v>407202</v>
      </c>
      <c r="M73" s="127">
        <f t="shared" si="2"/>
        <v>640993</v>
      </c>
      <c r="N73" s="68"/>
    </row>
    <row r="74" spans="9:11" ht="13.5" thickTop="1">
      <c r="I74" s="33"/>
      <c r="K74" s="33"/>
    </row>
    <row r="75" spans="9:11" ht="12.75">
      <c r="I75" s="33"/>
      <c r="K75" s="33"/>
    </row>
    <row r="76" spans="1:9" ht="12.75">
      <c r="A76" s="159" t="s">
        <v>8</v>
      </c>
      <c r="B76" s="159"/>
      <c r="C76" s="159"/>
      <c r="D76" s="159"/>
      <c r="E76" s="159"/>
      <c r="F76" s="33"/>
      <c r="G76" s="33"/>
      <c r="H76" s="33"/>
      <c r="I76" s="33"/>
    </row>
    <row r="77" spans="1:13" ht="12.75">
      <c r="A77" s="26" t="s">
        <v>9</v>
      </c>
      <c r="B77" s="32">
        <v>32350</v>
      </c>
      <c r="C77" s="33">
        <v>28625</v>
      </c>
      <c r="D77" s="33">
        <v>30579</v>
      </c>
      <c r="E77" s="33">
        <v>35310</v>
      </c>
      <c r="F77" s="33">
        <f>3723+24116</f>
        <v>27839</v>
      </c>
      <c r="G77" s="33">
        <f>5030+33343</f>
        <v>38373</v>
      </c>
      <c r="H77" s="33">
        <v>34573</v>
      </c>
      <c r="I77" s="33">
        <v>36288</v>
      </c>
      <c r="J77" s="33">
        <f>698+38879</f>
        <v>39577</v>
      </c>
      <c r="K77" s="33">
        <v>44776</v>
      </c>
      <c r="L77" s="144">
        <v>51410</v>
      </c>
      <c r="M77">
        <v>54546</v>
      </c>
    </row>
    <row r="78" spans="1:13" ht="12.75">
      <c r="A78" s="26"/>
      <c r="B78" s="33">
        <v>31161</v>
      </c>
      <c r="C78" s="33">
        <v>31161</v>
      </c>
      <c r="D78" s="33">
        <v>31161</v>
      </c>
      <c r="E78" s="33">
        <v>31161</v>
      </c>
      <c r="F78" s="33">
        <v>31161</v>
      </c>
      <c r="G78" s="33">
        <v>31161</v>
      </c>
      <c r="H78" s="33">
        <v>31161</v>
      </c>
      <c r="I78" s="33">
        <v>31161</v>
      </c>
      <c r="J78" s="33">
        <v>31161</v>
      </c>
      <c r="K78" s="33">
        <v>31161</v>
      </c>
      <c r="L78" s="33">
        <v>31161</v>
      </c>
      <c r="M78" s="154">
        <v>31161</v>
      </c>
    </row>
    <row r="79" spans="1:13" ht="12.75">
      <c r="A79" s="26"/>
      <c r="B79" s="32"/>
      <c r="C79" s="33"/>
      <c r="D79" s="33"/>
      <c r="E79" s="33"/>
      <c r="F79" s="33"/>
      <c r="G79" s="33"/>
      <c r="H79" s="33"/>
      <c r="I79" s="33"/>
      <c r="J79" s="33"/>
      <c r="K79" s="33"/>
      <c r="M79" s="154"/>
    </row>
    <row r="80" spans="1:13" ht="23.25">
      <c r="A80" s="26" t="s">
        <v>98</v>
      </c>
      <c r="B80" s="32">
        <v>141320</v>
      </c>
      <c r="C80" s="33">
        <v>112008</v>
      </c>
      <c r="D80" s="33">
        <v>116445</v>
      </c>
      <c r="E80" s="33">
        <v>125467</v>
      </c>
      <c r="F80" s="33">
        <f>116631+315</f>
        <v>116946</v>
      </c>
      <c r="G80" s="33">
        <f>112394+5839</f>
        <v>118233</v>
      </c>
      <c r="H80" s="33">
        <v>102586</v>
      </c>
      <c r="I80" s="33">
        <f>125829-15</f>
        <v>125814</v>
      </c>
      <c r="J80" s="33">
        <f>138697+1307</f>
        <v>140004</v>
      </c>
      <c r="K80" s="33">
        <v>126087</v>
      </c>
      <c r="L80" s="144">
        <v>126400</v>
      </c>
      <c r="M80">
        <v>174745</v>
      </c>
    </row>
    <row r="81" spans="1:13" ht="12.75">
      <c r="A81" s="26"/>
      <c r="B81" s="33">
        <v>147792</v>
      </c>
      <c r="C81" s="33">
        <v>147793</v>
      </c>
      <c r="D81" s="33">
        <v>147793</v>
      </c>
      <c r="E81" s="33">
        <v>147793</v>
      </c>
      <c r="F81" s="33">
        <v>147793</v>
      </c>
      <c r="G81" s="33">
        <v>147793</v>
      </c>
      <c r="H81" s="33">
        <v>147793</v>
      </c>
      <c r="I81" s="33">
        <v>147793</v>
      </c>
      <c r="J81" s="33">
        <v>147793</v>
      </c>
      <c r="K81" s="33">
        <v>147793</v>
      </c>
      <c r="L81" s="33">
        <v>147793</v>
      </c>
      <c r="M81" s="154">
        <v>147793</v>
      </c>
    </row>
    <row r="82" spans="1:13" ht="12.75">
      <c r="A82" s="26"/>
      <c r="B82" s="32"/>
      <c r="C82" s="33"/>
      <c r="D82" s="33"/>
      <c r="E82" s="33"/>
      <c r="F82" s="33"/>
      <c r="G82" s="33"/>
      <c r="H82" s="33"/>
      <c r="I82" s="33"/>
      <c r="J82" s="33"/>
      <c r="K82" s="33"/>
      <c r="M82" s="154"/>
    </row>
    <row r="83" spans="1:13" ht="23.25">
      <c r="A83" s="26" t="s">
        <v>65</v>
      </c>
      <c r="B83" s="32">
        <v>13211</v>
      </c>
      <c r="C83" s="33">
        <v>12059</v>
      </c>
      <c r="D83" s="33">
        <v>11275</v>
      </c>
      <c r="E83" s="33">
        <v>13259</v>
      </c>
      <c r="F83" s="33">
        <f>12857+35</f>
        <v>12892</v>
      </c>
      <c r="G83" s="33">
        <f>14043+551</f>
        <v>14594</v>
      </c>
      <c r="H83" s="33">
        <v>13016</v>
      </c>
      <c r="I83" s="33">
        <v>12318</v>
      </c>
      <c r="J83" s="33">
        <f>11781+75</f>
        <v>11856</v>
      </c>
      <c r="K83" s="33">
        <v>12001</v>
      </c>
      <c r="L83" s="144">
        <v>24203</v>
      </c>
      <c r="M83">
        <v>18161</v>
      </c>
    </row>
    <row r="84" spans="1:13" ht="12.75">
      <c r="A84" s="26"/>
      <c r="B84" s="33">
        <v>16310</v>
      </c>
      <c r="C84" s="33">
        <v>16310</v>
      </c>
      <c r="D84" s="33">
        <v>16310</v>
      </c>
      <c r="E84" s="33">
        <v>16310</v>
      </c>
      <c r="F84" s="33">
        <v>16310</v>
      </c>
      <c r="G84" s="33">
        <v>16310</v>
      </c>
      <c r="H84" s="33">
        <v>16310</v>
      </c>
      <c r="I84" s="33">
        <v>16310</v>
      </c>
      <c r="J84" s="33">
        <v>16310</v>
      </c>
      <c r="K84" s="33">
        <v>16310</v>
      </c>
      <c r="L84" s="33">
        <v>16310</v>
      </c>
      <c r="M84" s="154">
        <v>16310</v>
      </c>
    </row>
    <row r="85" spans="1:13" ht="12.75">
      <c r="A85" s="26"/>
      <c r="B85" s="32"/>
      <c r="C85" s="33"/>
      <c r="D85" s="33"/>
      <c r="E85" s="33"/>
      <c r="F85" s="33"/>
      <c r="G85" s="33"/>
      <c r="H85" s="33"/>
      <c r="I85" s="33"/>
      <c r="J85" s="33"/>
      <c r="K85" s="33"/>
      <c r="M85" s="154"/>
    </row>
    <row r="86" spans="1:13" ht="12.75">
      <c r="A86" s="26" t="s">
        <v>62</v>
      </c>
      <c r="B86" s="45"/>
      <c r="C86" s="33"/>
      <c r="D86" s="33"/>
      <c r="E86" s="33"/>
      <c r="F86" s="33"/>
      <c r="G86" s="33"/>
      <c r="H86" s="33"/>
      <c r="I86" s="33"/>
      <c r="J86" s="33"/>
      <c r="K86" s="33"/>
      <c r="M86" s="154"/>
    </row>
    <row r="87" spans="1:13" ht="12.75">
      <c r="A87" s="26" t="s">
        <v>66</v>
      </c>
      <c r="B87" s="32">
        <v>2710</v>
      </c>
      <c r="C87" s="33">
        <v>59591</v>
      </c>
      <c r="D87" s="33">
        <v>1593</v>
      </c>
      <c r="E87" s="33">
        <v>119336</v>
      </c>
      <c r="F87" s="33">
        <v>57032</v>
      </c>
      <c r="G87" s="33">
        <v>66667</v>
      </c>
      <c r="H87" s="33">
        <v>62409</v>
      </c>
      <c r="I87" s="33">
        <v>72646</v>
      </c>
      <c r="J87" s="33">
        <v>115748</v>
      </c>
      <c r="K87" s="33">
        <v>69380</v>
      </c>
      <c r="L87" s="144">
        <v>79174</v>
      </c>
      <c r="M87">
        <v>221408</v>
      </c>
    </row>
    <row r="88" spans="1:13" ht="12.75">
      <c r="A88" s="26"/>
      <c r="B88" s="33">
        <v>79047</v>
      </c>
      <c r="C88" s="33">
        <v>79047</v>
      </c>
      <c r="D88" s="33">
        <v>79047</v>
      </c>
      <c r="E88" s="33">
        <v>79047</v>
      </c>
      <c r="F88" s="33">
        <v>79047</v>
      </c>
      <c r="G88" s="33">
        <v>79047</v>
      </c>
      <c r="H88" s="33">
        <v>79047</v>
      </c>
      <c r="I88" s="33">
        <v>79047</v>
      </c>
      <c r="J88" s="33">
        <v>79047</v>
      </c>
      <c r="K88" s="33">
        <v>79047</v>
      </c>
      <c r="L88" s="33">
        <v>79047</v>
      </c>
      <c r="M88" s="154">
        <v>79047</v>
      </c>
    </row>
    <row r="89" spans="1:13" ht="12.75">
      <c r="A89" s="26"/>
      <c r="B89" s="32"/>
      <c r="C89" s="33"/>
      <c r="D89" s="33"/>
      <c r="E89" s="33"/>
      <c r="F89" s="33"/>
      <c r="G89" s="33"/>
      <c r="H89" s="33"/>
      <c r="I89" s="33"/>
      <c r="J89" s="33"/>
      <c r="K89" s="33"/>
      <c r="M89" s="154"/>
    </row>
    <row r="90" spans="1:13" ht="12.75">
      <c r="A90" s="26" t="s">
        <v>33</v>
      </c>
      <c r="B90" s="45"/>
      <c r="C90" s="33"/>
      <c r="D90" s="33"/>
      <c r="E90" s="33"/>
      <c r="F90" s="33"/>
      <c r="G90" s="33"/>
      <c r="H90" s="33"/>
      <c r="I90" s="33"/>
      <c r="J90" s="33"/>
      <c r="K90" s="33"/>
      <c r="M90" s="154"/>
    </row>
    <row r="91" spans="1:13" ht="12.75">
      <c r="A91" s="26" t="s">
        <v>35</v>
      </c>
      <c r="B91" s="32">
        <v>88765</v>
      </c>
      <c r="C91" s="33">
        <v>75718</v>
      </c>
      <c r="D91" s="33">
        <v>178906</v>
      </c>
      <c r="E91" s="33">
        <v>21747</v>
      </c>
      <c r="F91" s="33">
        <f>69704-89+1</f>
        <v>69616</v>
      </c>
      <c r="G91" s="33">
        <f>132424+4</f>
        <v>132428</v>
      </c>
      <c r="H91" s="33">
        <v>121489</v>
      </c>
      <c r="I91" s="33">
        <v>72409</v>
      </c>
      <c r="J91" s="33">
        <f>334+67375</f>
        <v>67709</v>
      </c>
      <c r="K91" s="33">
        <v>137816</v>
      </c>
      <c r="L91" s="144">
        <v>127152</v>
      </c>
      <c r="M91">
        <v>162594</v>
      </c>
    </row>
    <row r="92" spans="1:13" ht="12.75">
      <c r="A92" s="26"/>
      <c r="B92" s="33">
        <v>80009</v>
      </c>
      <c r="C92" s="33">
        <v>80009</v>
      </c>
      <c r="D92" s="33">
        <v>80009</v>
      </c>
      <c r="E92" s="33">
        <v>80009</v>
      </c>
      <c r="F92" s="33">
        <v>80009</v>
      </c>
      <c r="G92" s="33">
        <v>80009</v>
      </c>
      <c r="H92" s="33">
        <v>80009</v>
      </c>
      <c r="I92" s="33">
        <v>80009</v>
      </c>
      <c r="J92" s="33">
        <v>80009</v>
      </c>
      <c r="K92" s="33">
        <v>80009</v>
      </c>
      <c r="L92" s="33">
        <v>80009</v>
      </c>
      <c r="M92" s="154">
        <v>80009</v>
      </c>
    </row>
    <row r="93" spans="1:13" ht="12.75">
      <c r="A93" s="26"/>
      <c r="B93" s="32"/>
      <c r="C93" s="33"/>
      <c r="D93" s="33"/>
      <c r="E93" s="33"/>
      <c r="F93" s="33"/>
      <c r="G93" s="33"/>
      <c r="H93" s="33"/>
      <c r="I93" s="33"/>
      <c r="J93" s="33"/>
      <c r="K93" s="33"/>
      <c r="M93" s="154"/>
    </row>
    <row r="94" spans="1:13" ht="12.75">
      <c r="A94" s="26" t="s">
        <v>10</v>
      </c>
      <c r="B94" s="32">
        <v>687</v>
      </c>
      <c r="C94" s="33">
        <v>574</v>
      </c>
      <c r="D94" s="33">
        <v>2027</v>
      </c>
      <c r="E94" s="33">
        <v>-273</v>
      </c>
      <c r="F94" s="33">
        <v>543</v>
      </c>
      <c r="G94" s="33">
        <v>-884</v>
      </c>
      <c r="H94" s="33">
        <v>24</v>
      </c>
      <c r="I94" s="33">
        <v>3251</v>
      </c>
      <c r="J94" s="33">
        <v>2879</v>
      </c>
      <c r="K94" s="33">
        <v>-1927</v>
      </c>
      <c r="L94" s="144">
        <v>-1137</v>
      </c>
      <c r="M94">
        <v>9726</v>
      </c>
    </row>
    <row r="95" spans="1:13" ht="12.75">
      <c r="A95" s="26"/>
      <c r="B95" s="33">
        <v>0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154">
        <v>0</v>
      </c>
    </row>
    <row r="96" spans="1:10" ht="12.75">
      <c r="A96" s="26"/>
      <c r="B96" s="32"/>
      <c r="C96" s="33"/>
      <c r="D96" s="33"/>
      <c r="E96" s="33"/>
      <c r="F96" s="33"/>
      <c r="G96" s="33"/>
      <c r="H96" s="33"/>
      <c r="I96" s="33"/>
      <c r="J96" s="33"/>
    </row>
    <row r="97" spans="1:13" ht="12.75">
      <c r="A97" s="26" t="s">
        <v>124</v>
      </c>
      <c r="B97" s="32">
        <v>0</v>
      </c>
      <c r="C97" s="33">
        <v>0</v>
      </c>
      <c r="D97" s="33">
        <v>0</v>
      </c>
      <c r="E97" s="33">
        <v>0</v>
      </c>
      <c r="F97" s="33">
        <v>54</v>
      </c>
      <c r="G97" s="33">
        <v>111</v>
      </c>
      <c r="H97" s="33">
        <v>0</v>
      </c>
      <c r="I97" s="33">
        <v>15</v>
      </c>
      <c r="J97" s="33">
        <v>7</v>
      </c>
      <c r="K97" s="33">
        <v>0</v>
      </c>
      <c r="L97" s="33">
        <v>0</v>
      </c>
      <c r="M97" s="154">
        <v>-187</v>
      </c>
    </row>
    <row r="98" spans="2:13" ht="12.75">
      <c r="B98" s="33">
        <v>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154">
        <v>0</v>
      </c>
    </row>
    <row r="99" spans="2:10" ht="12.75">
      <c r="B99" s="33"/>
      <c r="C99" s="33"/>
      <c r="D99" s="33"/>
      <c r="E99" s="33"/>
      <c r="F99" s="33"/>
      <c r="G99" s="33"/>
      <c r="H99" s="33"/>
      <c r="I99" s="33"/>
      <c r="J99" s="33"/>
    </row>
    <row r="100" spans="2:13" ht="13.5" thickBot="1">
      <c r="B100" s="127">
        <f>+B77+B80+B83+B87+B91+B94+B97</f>
        <v>279043</v>
      </c>
      <c r="C100" s="127">
        <f aca="true" t="shared" si="3" ref="C100:M100">+C77+C80+C83+C87+C91+C94+C97</f>
        <v>288575</v>
      </c>
      <c r="D100" s="127">
        <f t="shared" si="3"/>
        <v>340825</v>
      </c>
      <c r="E100" s="127">
        <f t="shared" si="3"/>
        <v>314846</v>
      </c>
      <c r="F100" s="127">
        <f t="shared" si="3"/>
        <v>284922</v>
      </c>
      <c r="G100" s="127">
        <f t="shared" si="3"/>
        <v>369522</v>
      </c>
      <c r="H100" s="127">
        <f t="shared" si="3"/>
        <v>334097</v>
      </c>
      <c r="I100" s="127">
        <f t="shared" si="3"/>
        <v>322741</v>
      </c>
      <c r="J100" s="127">
        <f t="shared" si="3"/>
        <v>377780</v>
      </c>
      <c r="K100" s="127">
        <f t="shared" si="3"/>
        <v>388133</v>
      </c>
      <c r="L100" s="127">
        <f t="shared" si="3"/>
        <v>407202</v>
      </c>
      <c r="M100" s="127">
        <f t="shared" si="3"/>
        <v>640993</v>
      </c>
    </row>
    <row r="101" spans="9:11" ht="13.5" thickTop="1">
      <c r="I101" s="33"/>
      <c r="K101" s="33"/>
    </row>
    <row r="102" spans="9:11" ht="12.75">
      <c r="I102" s="33"/>
      <c r="K102" s="33"/>
    </row>
    <row r="103" spans="9:11" ht="12.75">
      <c r="I103" s="33"/>
      <c r="K103" s="33"/>
    </row>
    <row r="104" spans="9:11" ht="12.75">
      <c r="I104" s="33"/>
      <c r="K104" s="33"/>
    </row>
    <row r="105" spans="9:11" ht="12.75">
      <c r="I105" s="33"/>
      <c r="K105" s="33"/>
    </row>
    <row r="106" spans="9:11" ht="12.75">
      <c r="I106" s="33"/>
      <c r="K106" s="33"/>
    </row>
    <row r="107" spans="9:11" ht="12.75">
      <c r="I107" s="33"/>
      <c r="K107" s="33"/>
    </row>
    <row r="108" ht="12.75">
      <c r="I108" s="33"/>
    </row>
    <row r="109" ht="12.75">
      <c r="I109" s="33"/>
    </row>
    <row r="110" ht="12.75">
      <c r="I110" s="33"/>
    </row>
    <row r="111" ht="12.75">
      <c r="I111" s="33"/>
    </row>
    <row r="112" ht="12.75">
      <c r="I112" s="33"/>
    </row>
    <row r="113" ht="12.75">
      <c r="I113" s="33"/>
    </row>
    <row r="114" ht="12.75">
      <c r="I114" s="33"/>
    </row>
    <row r="115" ht="12.75">
      <c r="I115" s="33"/>
    </row>
    <row r="116" ht="12.75">
      <c r="I116" s="33"/>
    </row>
    <row r="117" ht="12.75">
      <c r="I117" s="33"/>
    </row>
    <row r="118" ht="12.75">
      <c r="I118" s="33"/>
    </row>
    <row r="119" ht="12.75">
      <c r="I119" s="33"/>
    </row>
    <row r="120" ht="12.75">
      <c r="I120" s="33"/>
    </row>
    <row r="121" ht="12.75">
      <c r="I121" s="126"/>
    </row>
  </sheetData>
  <mergeCells count="2">
    <mergeCell ref="A48:E48"/>
    <mergeCell ref="A76:E76"/>
  </mergeCells>
  <printOptions/>
  <pageMargins left="0.23" right="0.16" top="0.84" bottom="0.5" header="0.11" footer="0.5"/>
  <pageSetup horizontalDpi="600" verticalDpi="600" orientation="landscape" paperSize="9" scale="95" r:id="rId1"/>
  <headerFooter alignWithMargins="0">
    <oddHeader>&amp;C&amp;"Tahoma,Bold Italic"&amp;16&amp;EDEPARTMENT OF JUSTICE AND CONSTITUTIONAL DEVELOPMENT&amp;"Arial,Regular"&amp;10&amp;E
&amp;"Tahoma,Italic"&amp;16Preliminary Accounts for the period ending 31 March 2003 - R '000&amp;"Arial,Regular"&amp;10
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D25">
      <selection activeCell="R50" sqref="R50"/>
    </sheetView>
  </sheetViews>
  <sheetFormatPr defaultColWidth="9.140625" defaultRowHeight="12.75"/>
  <sheetData/>
  <printOptions/>
  <pageMargins left="0.23" right="0.16" top="0.84" bottom="0.5" header="0.11" footer="0.5"/>
  <pageSetup horizontalDpi="300" verticalDpi="300" orientation="landscape" paperSize="9" scale="95" r:id="rId2"/>
  <headerFooter alignWithMargins="0">
    <oddHeader>&amp;C&amp;"Tahoma,Bold Italic"&amp;16&amp;EDEPARTMENT OF JUSTICE AND CONSTITUTIONAL DEVELOPMENT&amp;"Arial,Regular"&amp;10&amp;E
&amp;"Tahoma,Italic"&amp;16Preliminary Accounts for the period ending 31 March 2003 - R '000&amp;"Arial,Regular"&amp;10
</oddHeader>
    <oddFooter>&amp;CPage &amp;P of &amp;N</oddFooter>
  </headerFooter>
  <rowBreaks count="2" manualBreakCount="2">
    <brk id="40" max="15" man="1"/>
    <brk id="79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Z466"/>
  <sheetViews>
    <sheetView tabSelected="1" view="pageBreakPreview" zoomScale="75" zoomScaleNormal="75" zoomScaleSheetLayoutView="75" workbookViewId="0" topLeftCell="N72">
      <selection activeCell="R50" sqref="R50"/>
    </sheetView>
  </sheetViews>
  <sheetFormatPr defaultColWidth="9.140625" defaultRowHeight="12" customHeight="1"/>
  <cols>
    <col min="1" max="1" width="14.421875" style="28" customWidth="1"/>
    <col min="2" max="2" width="2.28125" style="57" customWidth="1"/>
    <col min="3" max="3" width="2.00390625" style="58" customWidth="1"/>
    <col min="4" max="4" width="30.00390625" style="44" customWidth="1"/>
    <col min="5" max="5" width="12.00390625" style="68" hidden="1" customWidth="1"/>
    <col min="6" max="9" width="11.7109375" style="68" hidden="1" customWidth="1"/>
    <col min="10" max="10" width="12.421875" style="68" hidden="1" customWidth="1"/>
    <col min="11" max="12" width="11.7109375" style="68" hidden="1" customWidth="1"/>
    <col min="13" max="13" width="12.28125" style="134" customWidth="1"/>
    <col min="14" max="14" width="11.7109375" style="68" customWidth="1"/>
    <col min="15" max="16" width="11.7109375" style="134" customWidth="1"/>
    <col min="17" max="17" width="14.140625" style="134" customWidth="1"/>
    <col min="18" max="18" width="14.57421875" style="68" bestFit="1" customWidth="1"/>
    <col min="19" max="19" width="12.8515625" style="134" customWidth="1"/>
    <col min="20" max="20" width="11.421875" style="68" customWidth="1"/>
    <col min="21" max="22" width="9.140625" style="64" customWidth="1"/>
    <col min="23" max="23" width="10.57421875" style="64" customWidth="1"/>
    <col min="24" max="24" width="12.140625" style="64" customWidth="1"/>
    <col min="25" max="16384" width="9.140625" style="64" customWidth="1"/>
  </cols>
  <sheetData>
    <row r="1" spans="1:20" ht="19.5" customHeight="1">
      <c r="A1" s="162" t="s">
        <v>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3" spans="1:20" s="65" customFormat="1" ht="15" customHeight="1">
      <c r="A3" s="25" t="s">
        <v>25</v>
      </c>
      <c r="B3" s="57"/>
      <c r="C3" s="58"/>
      <c r="D3" s="56"/>
      <c r="E3" s="69" t="s">
        <v>3</v>
      </c>
      <c r="F3" s="69" t="s">
        <v>3</v>
      </c>
      <c r="G3" s="69" t="s">
        <v>3</v>
      </c>
      <c r="H3" s="69" t="s">
        <v>3</v>
      </c>
      <c r="I3" s="69" t="s">
        <v>3</v>
      </c>
      <c r="J3" s="69" t="s">
        <v>3</v>
      </c>
      <c r="K3" s="69" t="s">
        <v>3</v>
      </c>
      <c r="L3" s="69" t="s">
        <v>3</v>
      </c>
      <c r="M3" s="130" t="s">
        <v>3</v>
      </c>
      <c r="N3" s="69" t="s">
        <v>3</v>
      </c>
      <c r="O3" s="130" t="s">
        <v>3</v>
      </c>
      <c r="P3" s="130" t="s">
        <v>3</v>
      </c>
      <c r="Q3" s="130" t="s">
        <v>39</v>
      </c>
      <c r="R3" s="69" t="s">
        <v>94</v>
      </c>
      <c r="S3" s="130" t="s">
        <v>37</v>
      </c>
      <c r="T3" s="69" t="s">
        <v>28</v>
      </c>
    </row>
    <row r="4" spans="1:20" s="65" customFormat="1" ht="15" customHeight="1">
      <c r="A4" s="25" t="s">
        <v>3</v>
      </c>
      <c r="B4" s="57"/>
      <c r="C4" s="58"/>
      <c r="D4" s="56"/>
      <c r="E4" s="76" t="s">
        <v>76</v>
      </c>
      <c r="F4" s="76" t="s">
        <v>77</v>
      </c>
      <c r="G4" s="76" t="s">
        <v>78</v>
      </c>
      <c r="H4" s="76" t="s">
        <v>79</v>
      </c>
      <c r="I4" s="76" t="s">
        <v>80</v>
      </c>
      <c r="J4" s="76" t="s">
        <v>81</v>
      </c>
      <c r="K4" s="76" t="s">
        <v>82</v>
      </c>
      <c r="L4" s="76" t="s">
        <v>83</v>
      </c>
      <c r="M4" s="131" t="s">
        <v>84</v>
      </c>
      <c r="N4" s="76" t="s">
        <v>85</v>
      </c>
      <c r="O4" s="131" t="s">
        <v>86</v>
      </c>
      <c r="P4" s="131" t="s">
        <v>136</v>
      </c>
      <c r="Q4" s="130" t="s">
        <v>36</v>
      </c>
      <c r="R4" s="69" t="s">
        <v>27</v>
      </c>
      <c r="S4" s="130" t="s">
        <v>26</v>
      </c>
      <c r="T4" s="69"/>
    </row>
    <row r="5" spans="1:20" s="65" customFormat="1" ht="15" customHeight="1">
      <c r="A5" s="27"/>
      <c r="B5" s="57"/>
      <c r="C5" s="58"/>
      <c r="D5" s="56"/>
      <c r="E5" s="71"/>
      <c r="F5" s="71"/>
      <c r="G5" s="71"/>
      <c r="H5" s="71"/>
      <c r="I5" s="71"/>
      <c r="J5" s="71"/>
      <c r="K5" s="71"/>
      <c r="L5" s="71"/>
      <c r="M5" s="132"/>
      <c r="N5" s="71"/>
      <c r="O5" s="132"/>
      <c r="P5" s="132"/>
      <c r="Q5" s="130" t="s">
        <v>29</v>
      </c>
      <c r="R5" s="69"/>
      <c r="S5" s="130" t="s">
        <v>27</v>
      </c>
      <c r="T5" s="69"/>
    </row>
    <row r="6" spans="1:20" ht="19.5" customHeight="1">
      <c r="A6" s="75"/>
      <c r="B6" s="110" t="s">
        <v>10</v>
      </c>
      <c r="C6" s="111"/>
      <c r="D6" s="64"/>
      <c r="E6" s="75"/>
      <c r="F6" s="75"/>
      <c r="G6" s="75"/>
      <c r="H6" s="75"/>
      <c r="I6" s="75"/>
      <c r="J6" s="75"/>
      <c r="K6" s="75"/>
      <c r="L6" s="75"/>
      <c r="M6" s="133"/>
      <c r="N6" s="75"/>
      <c r="O6" s="133"/>
      <c r="P6" s="133"/>
      <c r="Q6" s="133"/>
      <c r="R6" s="75"/>
      <c r="S6" s="133"/>
      <c r="T6" s="75"/>
    </row>
    <row r="7" spans="1:20" ht="19.5" customHeight="1">
      <c r="A7" s="68">
        <f>SUM(E7:P7)</f>
        <v>4</v>
      </c>
      <c r="B7" s="110"/>
      <c r="C7" s="111"/>
      <c r="D7" s="44" t="s">
        <v>38</v>
      </c>
      <c r="E7" s="68">
        <v>0</v>
      </c>
      <c r="F7" s="68">
        <v>0</v>
      </c>
      <c r="G7" s="68">
        <v>1</v>
      </c>
      <c r="H7" s="68">
        <v>0</v>
      </c>
      <c r="I7" s="68">
        <v>0</v>
      </c>
      <c r="J7" s="68">
        <v>0</v>
      </c>
      <c r="K7" s="68">
        <v>4</v>
      </c>
      <c r="L7" s="68">
        <v>48</v>
      </c>
      <c r="M7" s="134">
        <v>0</v>
      </c>
      <c r="N7" s="68">
        <v>24</v>
      </c>
      <c r="O7" s="134">
        <v>24</v>
      </c>
      <c r="P7" s="134">
        <v>-97</v>
      </c>
      <c r="Q7" s="134">
        <f>+A7/12</f>
        <v>0.3333333333333333</v>
      </c>
      <c r="R7" s="68">
        <v>0</v>
      </c>
      <c r="S7" s="134">
        <v>0</v>
      </c>
      <c r="T7" s="68">
        <f>+S7-Q7</f>
        <v>-0.3333333333333333</v>
      </c>
    </row>
    <row r="8" spans="1:20" ht="19.5" customHeight="1">
      <c r="A8" s="68">
        <f aca="true" t="shared" si="0" ref="A8:A16">SUM(E8:P8)</f>
        <v>447</v>
      </c>
      <c r="B8" s="64"/>
      <c r="C8" s="64"/>
      <c r="D8" s="64" t="s">
        <v>75</v>
      </c>
      <c r="E8" s="68">
        <v>10</v>
      </c>
      <c r="F8" s="68">
        <v>9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333</v>
      </c>
      <c r="M8" s="134">
        <v>95</v>
      </c>
      <c r="N8" s="68">
        <v>0</v>
      </c>
      <c r="O8" s="134">
        <v>0</v>
      </c>
      <c r="P8" s="134">
        <v>0</v>
      </c>
      <c r="Q8" s="134">
        <f aca="true" t="shared" si="1" ref="Q8:Q16">+A8/12</f>
        <v>37.25</v>
      </c>
      <c r="R8" s="68">
        <v>0</v>
      </c>
      <c r="S8" s="134">
        <v>0</v>
      </c>
      <c r="T8" s="68">
        <f>+S8-Q8</f>
        <v>-37.25</v>
      </c>
    </row>
    <row r="9" spans="1:20" ht="19.5" customHeight="1">
      <c r="A9" s="68">
        <f t="shared" si="0"/>
        <v>11594</v>
      </c>
      <c r="B9" s="64"/>
      <c r="C9" s="64"/>
      <c r="D9" s="44" t="s">
        <v>88</v>
      </c>
      <c r="E9" s="68">
        <v>145</v>
      </c>
      <c r="F9" s="68">
        <v>-54</v>
      </c>
      <c r="G9" s="68">
        <v>250</v>
      </c>
      <c r="H9" s="68">
        <v>113</v>
      </c>
      <c r="I9" s="68">
        <v>270</v>
      </c>
      <c r="J9" s="68">
        <v>-384</v>
      </c>
      <c r="K9" s="68">
        <v>90</v>
      </c>
      <c r="L9" s="68">
        <v>-68</v>
      </c>
      <c r="M9" s="134">
        <v>2409</v>
      </c>
      <c r="N9" s="68">
        <v>-2415</v>
      </c>
      <c r="O9" s="134">
        <v>101</v>
      </c>
      <c r="P9" s="134">
        <f>11150-13</f>
        <v>11137</v>
      </c>
      <c r="Q9" s="134">
        <f t="shared" si="1"/>
        <v>966.1666666666666</v>
      </c>
      <c r="R9" s="68">
        <v>0</v>
      </c>
      <c r="S9" s="134">
        <v>0</v>
      </c>
      <c r="T9" s="68">
        <f aca="true" t="shared" si="2" ref="T9:T16">+S9-Q9</f>
        <v>-966.1666666666666</v>
      </c>
    </row>
    <row r="10" spans="1:20" ht="19.5" customHeight="1">
      <c r="A10" s="68">
        <f t="shared" si="0"/>
        <v>513</v>
      </c>
      <c r="B10" s="64"/>
      <c r="C10" s="64"/>
      <c r="D10" s="44" t="s">
        <v>74</v>
      </c>
      <c r="E10" s="68">
        <v>0</v>
      </c>
      <c r="F10" s="68">
        <v>10</v>
      </c>
      <c r="G10" s="68">
        <v>274</v>
      </c>
      <c r="H10" s="68">
        <v>38</v>
      </c>
      <c r="I10" s="68">
        <v>0</v>
      </c>
      <c r="J10" s="68">
        <v>0</v>
      </c>
      <c r="K10" s="68">
        <v>0</v>
      </c>
      <c r="L10" s="68">
        <v>1</v>
      </c>
      <c r="M10" s="134">
        <v>79</v>
      </c>
      <c r="N10" s="68">
        <v>59</v>
      </c>
      <c r="O10" s="134">
        <v>10</v>
      </c>
      <c r="P10" s="134">
        <v>42</v>
      </c>
      <c r="Q10" s="134">
        <f t="shared" si="1"/>
        <v>42.75</v>
      </c>
      <c r="R10" s="68">
        <v>0</v>
      </c>
      <c r="S10" s="134">
        <v>0</v>
      </c>
      <c r="T10" s="68">
        <f t="shared" si="2"/>
        <v>-42.75</v>
      </c>
    </row>
    <row r="11" spans="1:20" ht="19.5" customHeight="1">
      <c r="A11" s="68">
        <f t="shared" si="0"/>
        <v>2636</v>
      </c>
      <c r="B11" s="64"/>
      <c r="C11" s="64"/>
      <c r="D11" s="44" t="s">
        <v>32</v>
      </c>
      <c r="E11" s="68">
        <v>281</v>
      </c>
      <c r="F11" s="68">
        <v>290</v>
      </c>
      <c r="G11" s="68">
        <v>313</v>
      </c>
      <c r="H11" s="68">
        <v>8</v>
      </c>
      <c r="I11" s="68">
        <v>225</v>
      </c>
      <c r="J11" s="68">
        <v>252</v>
      </c>
      <c r="K11" s="68">
        <v>205</v>
      </c>
      <c r="L11" s="68">
        <v>769</v>
      </c>
      <c r="M11" s="134">
        <v>155</v>
      </c>
      <c r="N11" s="68">
        <v>415</v>
      </c>
      <c r="O11" s="134">
        <v>-17</v>
      </c>
      <c r="P11" s="134">
        <f>-215-45</f>
        <v>-260</v>
      </c>
      <c r="Q11" s="134">
        <f t="shared" si="1"/>
        <v>219.66666666666666</v>
      </c>
      <c r="R11" s="68">
        <v>0</v>
      </c>
      <c r="S11" s="134">
        <v>0</v>
      </c>
      <c r="T11" s="68">
        <f t="shared" si="2"/>
        <v>-219.66666666666666</v>
      </c>
    </row>
    <row r="12" spans="1:20" ht="19.5" customHeight="1">
      <c r="A12" s="68">
        <f t="shared" si="0"/>
        <v>15</v>
      </c>
      <c r="B12" s="64"/>
      <c r="C12" s="64"/>
      <c r="D12" s="44" t="s">
        <v>89</v>
      </c>
      <c r="E12" s="68">
        <v>7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30</v>
      </c>
      <c r="L12" s="68">
        <v>0</v>
      </c>
      <c r="M12" s="134">
        <v>0</v>
      </c>
      <c r="N12" s="68">
        <v>8</v>
      </c>
      <c r="O12" s="134">
        <v>0</v>
      </c>
      <c r="P12" s="134">
        <v>-30</v>
      </c>
      <c r="Q12" s="134">
        <f t="shared" si="1"/>
        <v>1.25</v>
      </c>
      <c r="R12" s="68">
        <v>0</v>
      </c>
      <c r="S12" s="134">
        <v>0</v>
      </c>
      <c r="T12" s="68">
        <f t="shared" si="2"/>
        <v>-1.25</v>
      </c>
    </row>
    <row r="13" spans="1:20" ht="19.5" customHeight="1">
      <c r="A13" s="68">
        <f t="shared" si="0"/>
        <v>203</v>
      </c>
      <c r="B13" s="64"/>
      <c r="C13" s="64"/>
      <c r="D13" s="44" t="s">
        <v>92</v>
      </c>
      <c r="E13" s="68">
        <v>0</v>
      </c>
      <c r="F13" s="68">
        <v>0</v>
      </c>
      <c r="G13" s="68">
        <v>46</v>
      </c>
      <c r="H13" s="68">
        <v>26</v>
      </c>
      <c r="I13" s="68">
        <v>40</v>
      </c>
      <c r="J13" s="68">
        <v>-34</v>
      </c>
      <c r="K13" s="68">
        <v>0</v>
      </c>
      <c r="L13" s="68">
        <v>97</v>
      </c>
      <c r="M13" s="134">
        <v>26</v>
      </c>
      <c r="N13" s="68">
        <v>11</v>
      </c>
      <c r="O13" s="134">
        <v>17</v>
      </c>
      <c r="P13" s="134">
        <v>-26</v>
      </c>
      <c r="Q13" s="134">
        <f t="shared" si="1"/>
        <v>16.916666666666668</v>
      </c>
      <c r="R13" s="68">
        <v>0</v>
      </c>
      <c r="S13" s="134">
        <v>0</v>
      </c>
      <c r="T13" s="68">
        <f>+S13-Q13</f>
        <v>-16.916666666666668</v>
      </c>
    </row>
    <row r="14" spans="1:20" ht="19.5" customHeight="1">
      <c r="A14" s="68">
        <f t="shared" si="0"/>
        <v>6</v>
      </c>
      <c r="B14" s="64"/>
      <c r="C14" s="64"/>
      <c r="D14" s="44" t="s">
        <v>44</v>
      </c>
      <c r="E14" s="68">
        <v>2</v>
      </c>
      <c r="F14" s="68">
        <v>0</v>
      </c>
      <c r="G14" s="68">
        <v>0</v>
      </c>
      <c r="H14" s="68">
        <v>12</v>
      </c>
      <c r="I14" s="68">
        <v>0</v>
      </c>
      <c r="J14" s="68">
        <v>0</v>
      </c>
      <c r="K14" s="68">
        <v>0</v>
      </c>
      <c r="L14" s="68">
        <v>0</v>
      </c>
      <c r="M14" s="134">
        <v>0</v>
      </c>
      <c r="N14" s="68">
        <v>0</v>
      </c>
      <c r="O14" s="134">
        <v>0</v>
      </c>
      <c r="P14" s="134">
        <v>-8</v>
      </c>
      <c r="Q14" s="134">
        <f t="shared" si="1"/>
        <v>0.5</v>
      </c>
      <c r="R14" s="68">
        <v>0</v>
      </c>
      <c r="S14" s="134">
        <v>0</v>
      </c>
      <c r="T14" s="68">
        <f t="shared" si="2"/>
        <v>-0.5</v>
      </c>
    </row>
    <row r="15" spans="1:20" ht="19.5" customHeight="1">
      <c r="A15" s="68">
        <f t="shared" si="0"/>
        <v>20</v>
      </c>
      <c r="B15" s="64"/>
      <c r="C15" s="64"/>
      <c r="D15" s="44" t="s">
        <v>97</v>
      </c>
      <c r="E15" s="68">
        <v>0</v>
      </c>
      <c r="F15" s="68">
        <v>20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134">
        <v>0</v>
      </c>
      <c r="N15" s="68">
        <v>0</v>
      </c>
      <c r="O15" s="134">
        <v>0</v>
      </c>
      <c r="P15" s="134">
        <v>0</v>
      </c>
      <c r="Q15" s="134">
        <f t="shared" si="1"/>
        <v>1.6666666666666667</v>
      </c>
      <c r="R15" s="68">
        <v>0</v>
      </c>
      <c r="S15" s="134">
        <v>0</v>
      </c>
      <c r="T15" s="68">
        <f t="shared" si="2"/>
        <v>-1.6666666666666667</v>
      </c>
    </row>
    <row r="16" spans="1:20" ht="19.5" customHeight="1">
      <c r="A16" s="55">
        <f t="shared" si="0"/>
        <v>52</v>
      </c>
      <c r="B16" s="64"/>
      <c r="C16" s="64"/>
      <c r="D16" s="44" t="s">
        <v>59</v>
      </c>
      <c r="E16" s="68">
        <v>242</v>
      </c>
      <c r="F16" s="68">
        <v>299</v>
      </c>
      <c r="G16" s="68">
        <v>1144</v>
      </c>
      <c r="H16" s="68">
        <v>-470</v>
      </c>
      <c r="I16" s="68">
        <v>7</v>
      </c>
      <c r="J16" s="68">
        <v>-718</v>
      </c>
      <c r="K16" s="68">
        <v>-305</v>
      </c>
      <c r="L16" s="68">
        <v>2071</v>
      </c>
      <c r="M16" s="134">
        <v>115</v>
      </c>
      <c r="N16" s="68">
        <v>-29</v>
      </c>
      <c r="O16" s="134">
        <v>-1272</v>
      </c>
      <c r="P16" s="134">
        <f>-269-763</f>
        <v>-1032</v>
      </c>
      <c r="Q16" s="134">
        <f t="shared" si="1"/>
        <v>4.333333333333333</v>
      </c>
      <c r="R16" s="68">
        <v>0</v>
      </c>
      <c r="S16" s="134">
        <v>0</v>
      </c>
      <c r="T16" s="68">
        <f t="shared" si="2"/>
        <v>-4.333333333333333</v>
      </c>
    </row>
    <row r="17" spans="1:104" s="65" customFormat="1" ht="18.75" customHeight="1">
      <c r="A17" s="75">
        <f>SUM(A7:A16)</f>
        <v>15490</v>
      </c>
      <c r="B17" s="57"/>
      <c r="C17" s="58"/>
      <c r="D17" s="56"/>
      <c r="E17" s="112">
        <f>SUM(E7:E16)</f>
        <v>687</v>
      </c>
      <c r="F17" s="112">
        <f>SUM(F7:F16)</f>
        <v>574</v>
      </c>
      <c r="G17" s="112">
        <f aca="true" t="shared" si="3" ref="G17:T17">SUM(G7:G16)</f>
        <v>2028</v>
      </c>
      <c r="H17" s="112">
        <f t="shared" si="3"/>
        <v>-273</v>
      </c>
      <c r="I17" s="112">
        <f t="shared" si="3"/>
        <v>542</v>
      </c>
      <c r="J17" s="112">
        <f t="shared" si="3"/>
        <v>-884</v>
      </c>
      <c r="K17" s="112">
        <f t="shared" si="3"/>
        <v>24</v>
      </c>
      <c r="L17" s="112">
        <f t="shared" si="3"/>
        <v>3251</v>
      </c>
      <c r="M17" s="135">
        <f t="shared" si="3"/>
        <v>2879</v>
      </c>
      <c r="N17" s="112">
        <f t="shared" si="3"/>
        <v>-1927</v>
      </c>
      <c r="O17" s="135">
        <f t="shared" si="3"/>
        <v>-1137</v>
      </c>
      <c r="P17" s="135">
        <f t="shared" si="3"/>
        <v>9726</v>
      </c>
      <c r="Q17" s="135">
        <f t="shared" si="3"/>
        <v>1290.8333333333335</v>
      </c>
      <c r="R17" s="112">
        <f t="shared" si="3"/>
        <v>0</v>
      </c>
      <c r="S17" s="135">
        <f t="shared" si="3"/>
        <v>0</v>
      </c>
      <c r="T17" s="112">
        <f t="shared" si="3"/>
        <v>-1290.8333333333335</v>
      </c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</row>
    <row r="18" spans="1:104" s="65" customFormat="1" ht="12" customHeight="1">
      <c r="A18" s="69"/>
      <c r="B18" s="57"/>
      <c r="C18" s="58"/>
      <c r="D18" s="56"/>
      <c r="E18" s="68"/>
      <c r="F18" s="68"/>
      <c r="G18" s="68"/>
      <c r="H18" s="68"/>
      <c r="I18" s="68"/>
      <c r="J18" s="68"/>
      <c r="K18" s="68"/>
      <c r="L18" s="68"/>
      <c r="M18" s="134"/>
      <c r="N18" s="68"/>
      <c r="O18" s="134"/>
      <c r="P18" s="134"/>
      <c r="Q18" s="134"/>
      <c r="R18" s="68"/>
      <c r="S18" s="134"/>
      <c r="T18" s="68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</row>
    <row r="19" spans="1:104" s="65" customFormat="1" ht="12" customHeight="1">
      <c r="A19" s="69"/>
      <c r="B19" s="57"/>
      <c r="C19" s="58"/>
      <c r="D19" s="56"/>
      <c r="E19" s="68"/>
      <c r="F19" s="68"/>
      <c r="G19" s="68"/>
      <c r="H19" s="68"/>
      <c r="I19" s="68"/>
      <c r="J19" s="68"/>
      <c r="K19" s="68"/>
      <c r="L19" s="68"/>
      <c r="M19" s="134"/>
      <c r="N19" s="68"/>
      <c r="O19" s="134"/>
      <c r="P19" s="134"/>
      <c r="Q19" s="134"/>
      <c r="R19" s="68"/>
      <c r="S19" s="134"/>
      <c r="T19" s="68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</row>
    <row r="20" spans="1:20" ht="19.5" customHeight="1">
      <c r="A20" s="75"/>
      <c r="B20" s="110" t="s">
        <v>120</v>
      </c>
      <c r="C20" s="111"/>
      <c r="D20" s="64"/>
      <c r="E20" s="75"/>
      <c r="F20" s="75"/>
      <c r="G20" s="75"/>
      <c r="H20" s="75"/>
      <c r="I20" s="75"/>
      <c r="J20" s="75"/>
      <c r="K20" s="75"/>
      <c r="L20" s="75"/>
      <c r="M20" s="133"/>
      <c r="N20" s="75"/>
      <c r="O20" s="133"/>
      <c r="P20" s="133"/>
      <c r="Q20" s="133"/>
      <c r="R20" s="75"/>
      <c r="S20" s="133"/>
      <c r="T20" s="75"/>
    </row>
    <row r="21" spans="1:20" ht="19.5" customHeight="1">
      <c r="A21" s="55">
        <f>SUM(E21:P21)</f>
        <v>0</v>
      </c>
      <c r="B21" s="64"/>
      <c r="C21" s="64"/>
      <c r="D21" s="44" t="s">
        <v>32</v>
      </c>
      <c r="E21" s="68">
        <v>0</v>
      </c>
      <c r="F21" s="68">
        <v>0</v>
      </c>
      <c r="G21" s="68">
        <v>0</v>
      </c>
      <c r="H21" s="68">
        <v>0</v>
      </c>
      <c r="I21" s="68">
        <v>54</v>
      </c>
      <c r="J21" s="68">
        <v>111</v>
      </c>
      <c r="K21" s="68">
        <v>0</v>
      </c>
      <c r="L21" s="68">
        <v>15</v>
      </c>
      <c r="M21" s="134">
        <v>7</v>
      </c>
      <c r="N21" s="68">
        <v>0</v>
      </c>
      <c r="O21" s="134">
        <v>0</v>
      </c>
      <c r="P21" s="134">
        <v>-187</v>
      </c>
      <c r="Q21" s="134">
        <f>+A21/12</f>
        <v>0</v>
      </c>
      <c r="R21" s="68">
        <v>0</v>
      </c>
      <c r="S21" s="134">
        <v>0</v>
      </c>
      <c r="T21" s="68">
        <f>+S21-Q21</f>
        <v>0</v>
      </c>
    </row>
    <row r="22" spans="1:104" s="65" customFormat="1" ht="18.75" customHeight="1">
      <c r="A22" s="75">
        <f>SUM(A21:A21)</f>
        <v>0</v>
      </c>
      <c r="B22" s="57"/>
      <c r="C22" s="58"/>
      <c r="D22" s="62" t="s">
        <v>121</v>
      </c>
      <c r="E22" s="112">
        <f>SUM(E21:E21)</f>
        <v>0</v>
      </c>
      <c r="F22" s="112">
        <f>SUM(F21:F21)</f>
        <v>0</v>
      </c>
      <c r="G22" s="112">
        <f aca="true" t="shared" si="4" ref="G22:T22">SUM(G21:G21)</f>
        <v>0</v>
      </c>
      <c r="H22" s="112">
        <f t="shared" si="4"/>
        <v>0</v>
      </c>
      <c r="I22" s="112">
        <f t="shared" si="4"/>
        <v>54</v>
      </c>
      <c r="J22" s="112">
        <f t="shared" si="4"/>
        <v>111</v>
      </c>
      <c r="K22" s="112">
        <f t="shared" si="4"/>
        <v>0</v>
      </c>
      <c r="L22" s="112">
        <f t="shared" si="4"/>
        <v>15</v>
      </c>
      <c r="M22" s="135">
        <f t="shared" si="4"/>
        <v>7</v>
      </c>
      <c r="N22" s="112">
        <f t="shared" si="4"/>
        <v>0</v>
      </c>
      <c r="O22" s="135">
        <f t="shared" si="4"/>
        <v>0</v>
      </c>
      <c r="P22" s="135">
        <f t="shared" si="4"/>
        <v>-187</v>
      </c>
      <c r="Q22" s="135">
        <f t="shared" si="4"/>
        <v>0</v>
      </c>
      <c r="R22" s="112">
        <f t="shared" si="4"/>
        <v>0</v>
      </c>
      <c r="S22" s="135">
        <f t="shared" si="4"/>
        <v>0</v>
      </c>
      <c r="T22" s="112">
        <f t="shared" si="4"/>
        <v>0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</row>
    <row r="23" spans="1:104" s="65" customFormat="1" ht="12" customHeight="1">
      <c r="A23" s="69"/>
      <c r="B23" s="57"/>
      <c r="C23" s="58"/>
      <c r="D23" s="56"/>
      <c r="E23" s="68"/>
      <c r="F23" s="68"/>
      <c r="G23" s="68"/>
      <c r="H23" s="68"/>
      <c r="I23" s="68"/>
      <c r="J23" s="68"/>
      <c r="K23" s="68"/>
      <c r="L23" s="68"/>
      <c r="M23" s="134"/>
      <c r="N23" s="68"/>
      <c r="O23" s="134"/>
      <c r="P23" s="134"/>
      <c r="Q23" s="134"/>
      <c r="R23" s="68"/>
      <c r="S23" s="134"/>
      <c r="T23" s="68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</row>
    <row r="24" spans="1:104" s="65" customFormat="1" ht="12" customHeight="1">
      <c r="A24" s="69"/>
      <c r="B24" s="57"/>
      <c r="C24" s="58"/>
      <c r="D24" s="56"/>
      <c r="E24" s="68"/>
      <c r="F24" s="68"/>
      <c r="G24" s="68"/>
      <c r="H24" s="68"/>
      <c r="I24" s="68"/>
      <c r="J24" s="68"/>
      <c r="K24" s="68"/>
      <c r="L24" s="68"/>
      <c r="M24" s="134"/>
      <c r="N24" s="68"/>
      <c r="O24" s="134"/>
      <c r="P24" s="134"/>
      <c r="Q24" s="134"/>
      <c r="R24" s="68"/>
      <c r="S24" s="134"/>
      <c r="T24" s="68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</row>
    <row r="25" spans="1:20" s="65" customFormat="1" ht="15" customHeight="1">
      <c r="A25" s="25" t="s">
        <v>25</v>
      </c>
      <c r="B25" s="57"/>
      <c r="C25" s="58"/>
      <c r="D25" s="56"/>
      <c r="E25" s="69" t="s">
        <v>3</v>
      </c>
      <c r="F25" s="69" t="s">
        <v>3</v>
      </c>
      <c r="G25" s="69" t="s">
        <v>3</v>
      </c>
      <c r="H25" s="69" t="s">
        <v>3</v>
      </c>
      <c r="I25" s="69" t="s">
        <v>3</v>
      </c>
      <c r="J25" s="69" t="s">
        <v>3</v>
      </c>
      <c r="K25" s="69" t="s">
        <v>3</v>
      </c>
      <c r="L25" s="69" t="s">
        <v>3</v>
      </c>
      <c r="M25" s="130" t="s">
        <v>3</v>
      </c>
      <c r="N25" s="69" t="s">
        <v>3</v>
      </c>
      <c r="O25" s="130" t="s">
        <v>3</v>
      </c>
      <c r="P25" s="130" t="s">
        <v>3</v>
      </c>
      <c r="Q25" s="130" t="s">
        <v>39</v>
      </c>
      <c r="R25" s="69" t="s">
        <v>94</v>
      </c>
      <c r="S25" s="130" t="s">
        <v>37</v>
      </c>
      <c r="T25" s="69" t="s">
        <v>28</v>
      </c>
    </row>
    <row r="26" spans="1:20" s="65" customFormat="1" ht="15" customHeight="1">
      <c r="A26" s="25" t="s">
        <v>3</v>
      </c>
      <c r="B26" s="57"/>
      <c r="C26" s="58"/>
      <c r="D26" s="56"/>
      <c r="E26" s="76" t="s">
        <v>76</v>
      </c>
      <c r="F26" s="76" t="s">
        <v>77</v>
      </c>
      <c r="G26" s="76" t="s">
        <v>78</v>
      </c>
      <c r="H26" s="76" t="s">
        <v>79</v>
      </c>
      <c r="I26" s="76" t="s">
        <v>80</v>
      </c>
      <c r="J26" s="76" t="s">
        <v>81</v>
      </c>
      <c r="K26" s="76" t="s">
        <v>82</v>
      </c>
      <c r="L26" s="76" t="s">
        <v>83</v>
      </c>
      <c r="M26" s="131" t="s">
        <v>84</v>
      </c>
      <c r="N26" s="76" t="s">
        <v>85</v>
      </c>
      <c r="O26" s="131" t="s">
        <v>86</v>
      </c>
      <c r="P26" s="131" t="s">
        <v>136</v>
      </c>
      <c r="Q26" s="130" t="s">
        <v>36</v>
      </c>
      <c r="R26" s="69" t="s">
        <v>27</v>
      </c>
      <c r="S26" s="130" t="s">
        <v>26</v>
      </c>
      <c r="T26" s="69"/>
    </row>
    <row r="27" spans="1:20" s="65" customFormat="1" ht="15" customHeight="1">
      <c r="A27" s="27"/>
      <c r="B27" s="57"/>
      <c r="C27" s="58"/>
      <c r="D27" s="56"/>
      <c r="E27" s="71"/>
      <c r="F27" s="71"/>
      <c r="G27" s="71"/>
      <c r="H27" s="71"/>
      <c r="I27" s="71"/>
      <c r="J27" s="71"/>
      <c r="K27" s="71"/>
      <c r="L27" s="71"/>
      <c r="M27" s="132"/>
      <c r="N27" s="71"/>
      <c r="O27" s="132"/>
      <c r="P27" s="132"/>
      <c r="Q27" s="130" t="s">
        <v>29</v>
      </c>
      <c r="R27" s="69"/>
      <c r="S27" s="130" t="s">
        <v>27</v>
      </c>
      <c r="T27" s="69"/>
    </row>
    <row r="28" spans="1:20" s="65" customFormat="1" ht="15" customHeight="1">
      <c r="A28" s="27"/>
      <c r="B28" s="57"/>
      <c r="C28" s="58"/>
      <c r="D28" s="56"/>
      <c r="E28" s="71"/>
      <c r="F28" s="71"/>
      <c r="G28" s="71"/>
      <c r="H28" s="71"/>
      <c r="I28" s="71"/>
      <c r="J28" s="71"/>
      <c r="K28" s="71"/>
      <c r="L28" s="71"/>
      <c r="M28" s="132"/>
      <c r="N28" s="71"/>
      <c r="O28" s="132"/>
      <c r="P28" s="132"/>
      <c r="Q28" s="130"/>
      <c r="R28" s="69"/>
      <c r="S28" s="130"/>
      <c r="T28" s="69"/>
    </row>
    <row r="29" spans="1:2" ht="19.5" customHeight="1">
      <c r="A29" s="68"/>
      <c r="B29" s="57" t="s">
        <v>111</v>
      </c>
    </row>
    <row r="30" spans="1:20" ht="19.5" customHeight="1">
      <c r="A30" s="68">
        <f>SUM(E30:P30)</f>
        <v>11772</v>
      </c>
      <c r="B30" s="64"/>
      <c r="C30" s="64"/>
      <c r="D30" s="44" t="s">
        <v>118</v>
      </c>
      <c r="E30" s="68">
        <f>533+326</f>
        <v>859</v>
      </c>
      <c r="F30" s="68">
        <f>849+512</f>
        <v>1361</v>
      </c>
      <c r="G30" s="68">
        <f>515+299</f>
        <v>814</v>
      </c>
      <c r="H30" s="68">
        <v>1177</v>
      </c>
      <c r="I30" s="68">
        <f>628+338</f>
        <v>966</v>
      </c>
      <c r="J30" s="68">
        <f>631+345</f>
        <v>976</v>
      </c>
      <c r="K30" s="68">
        <v>1067</v>
      </c>
      <c r="L30" s="68">
        <v>1167</v>
      </c>
      <c r="M30" s="134">
        <v>1041</v>
      </c>
      <c r="N30" s="68">
        <v>781</v>
      </c>
      <c r="O30" s="134">
        <v>848</v>
      </c>
      <c r="P30" s="134">
        <v>715</v>
      </c>
      <c r="Q30" s="134">
        <f>+A30/12</f>
        <v>981</v>
      </c>
      <c r="R30" s="68">
        <f>10304+457</f>
        <v>10761</v>
      </c>
      <c r="S30" s="134">
        <f>+R30/12</f>
        <v>896.75</v>
      </c>
      <c r="T30" s="68">
        <f aca="true" t="shared" si="5" ref="T30:T45">+S30-Q30</f>
        <v>-84.25</v>
      </c>
    </row>
    <row r="31" spans="1:20" ht="19.5" customHeight="1">
      <c r="A31" s="68">
        <f aca="true" t="shared" si="6" ref="A31:A45">SUM(E31:P31)</f>
        <v>8347</v>
      </c>
      <c r="B31" s="64"/>
      <c r="C31" s="64"/>
      <c r="D31" s="44" t="s">
        <v>73</v>
      </c>
      <c r="E31" s="68">
        <v>629</v>
      </c>
      <c r="F31" s="68">
        <v>478</v>
      </c>
      <c r="G31" s="68">
        <v>697</v>
      </c>
      <c r="H31" s="68">
        <v>696</v>
      </c>
      <c r="I31" s="68">
        <v>979</v>
      </c>
      <c r="J31" s="68">
        <v>610</v>
      </c>
      <c r="K31" s="68">
        <v>704</v>
      </c>
      <c r="L31" s="68">
        <v>575</v>
      </c>
      <c r="M31" s="134">
        <v>818</v>
      </c>
      <c r="N31" s="68">
        <v>1407</v>
      </c>
      <c r="O31" s="134">
        <v>247</v>
      </c>
      <c r="P31" s="134">
        <f>503+4</f>
        <v>507</v>
      </c>
      <c r="Q31" s="134">
        <f aca="true" t="shared" si="7" ref="Q31:Q45">+A31/12</f>
        <v>695.5833333333334</v>
      </c>
      <c r="R31" s="68">
        <f>9228+431</f>
        <v>9659</v>
      </c>
      <c r="S31" s="134">
        <f aca="true" t="shared" si="8" ref="S31:S45">+R31/12</f>
        <v>804.9166666666666</v>
      </c>
      <c r="T31" s="68">
        <f t="shared" si="5"/>
        <v>109.33333333333326</v>
      </c>
    </row>
    <row r="32" spans="1:20" ht="19.5" customHeight="1">
      <c r="A32" s="68">
        <f t="shared" si="6"/>
        <v>11484</v>
      </c>
      <c r="B32" s="64"/>
      <c r="C32" s="64"/>
      <c r="D32" s="44" t="s">
        <v>74</v>
      </c>
      <c r="E32" s="68">
        <v>2604</v>
      </c>
      <c r="F32" s="68">
        <v>2647</v>
      </c>
      <c r="G32" s="68">
        <v>2457</v>
      </c>
      <c r="H32" s="68">
        <v>2113</v>
      </c>
      <c r="I32" s="68">
        <v>3540</v>
      </c>
      <c r="J32" s="68">
        <v>1660</v>
      </c>
      <c r="K32" s="68">
        <v>1894</v>
      </c>
      <c r="L32" s="68">
        <v>1604</v>
      </c>
      <c r="M32" s="134">
        <v>1667</v>
      </c>
      <c r="N32" s="68">
        <v>-1147</v>
      </c>
      <c r="O32" s="134">
        <v>1917</v>
      </c>
      <c r="P32" s="134">
        <f>2383-11855</f>
        <v>-9472</v>
      </c>
      <c r="Q32" s="134">
        <f t="shared" si="7"/>
        <v>957</v>
      </c>
      <c r="R32" s="68">
        <v>9495</v>
      </c>
      <c r="S32" s="134">
        <f t="shared" si="8"/>
        <v>791.25</v>
      </c>
      <c r="T32" s="68">
        <f t="shared" si="5"/>
        <v>-165.75</v>
      </c>
    </row>
    <row r="33" spans="1:20" ht="19.5" customHeight="1">
      <c r="A33" s="68">
        <f t="shared" si="6"/>
        <v>204728</v>
      </c>
      <c r="B33" s="64"/>
      <c r="C33" s="64"/>
      <c r="D33" s="44" t="s">
        <v>32</v>
      </c>
      <c r="E33" s="68">
        <v>12789</v>
      </c>
      <c r="F33" s="68">
        <v>4880</v>
      </c>
      <c r="G33" s="68">
        <v>13720</v>
      </c>
      <c r="H33" s="68">
        <v>13830</v>
      </c>
      <c r="I33" s="68">
        <v>17301</v>
      </c>
      <c r="J33" s="68">
        <v>14993</v>
      </c>
      <c r="K33" s="68">
        <v>19474</v>
      </c>
      <c r="L33" s="68">
        <v>19022</v>
      </c>
      <c r="M33" s="134">
        <v>15645</v>
      </c>
      <c r="N33" s="68">
        <v>18698</v>
      </c>
      <c r="O33" s="134">
        <v>16287</v>
      </c>
      <c r="P33" s="134">
        <f>26216+11873</f>
        <v>38089</v>
      </c>
      <c r="Q33" s="134">
        <f t="shared" si="7"/>
        <v>17060.666666666668</v>
      </c>
      <c r="R33" s="68">
        <f>116052+604+5656-2076</f>
        <v>120236</v>
      </c>
      <c r="S33" s="134">
        <f t="shared" si="8"/>
        <v>10019.666666666666</v>
      </c>
      <c r="T33" s="68">
        <f t="shared" si="5"/>
        <v>-7041.000000000002</v>
      </c>
    </row>
    <row r="34" spans="1:20" ht="19.5" customHeight="1">
      <c r="A34" s="68">
        <f t="shared" si="6"/>
        <v>7086</v>
      </c>
      <c r="B34" s="64"/>
      <c r="C34" s="64"/>
      <c r="D34" s="64" t="s">
        <v>75</v>
      </c>
      <c r="E34" s="68">
        <v>320</v>
      </c>
      <c r="F34" s="68">
        <v>112</v>
      </c>
      <c r="G34" s="68">
        <v>106</v>
      </c>
      <c r="H34" s="68">
        <v>216</v>
      </c>
      <c r="I34" s="68">
        <v>232</v>
      </c>
      <c r="J34" s="68">
        <v>249</v>
      </c>
      <c r="K34" s="68">
        <v>487</v>
      </c>
      <c r="L34" s="68">
        <v>367</v>
      </c>
      <c r="M34" s="134">
        <v>254</v>
      </c>
      <c r="N34" s="68">
        <v>-41</v>
      </c>
      <c r="O34" s="134">
        <v>2009</v>
      </c>
      <c r="P34" s="134">
        <f>2617+158</f>
        <v>2775</v>
      </c>
      <c r="Q34" s="134">
        <f t="shared" si="7"/>
        <v>590.5</v>
      </c>
      <c r="R34" s="68">
        <v>5706</v>
      </c>
      <c r="S34" s="134">
        <f t="shared" si="8"/>
        <v>475.5</v>
      </c>
      <c r="T34" s="68">
        <f t="shared" si="5"/>
        <v>-115</v>
      </c>
    </row>
    <row r="35" spans="1:20" ht="19.5" customHeight="1">
      <c r="A35" s="68">
        <f t="shared" si="6"/>
        <v>11836</v>
      </c>
      <c r="B35" s="64"/>
      <c r="C35" s="64"/>
      <c r="D35" s="44" t="s">
        <v>87</v>
      </c>
      <c r="E35" s="68">
        <v>1136</v>
      </c>
      <c r="F35" s="68">
        <v>678</v>
      </c>
      <c r="G35" s="68">
        <v>705</v>
      </c>
      <c r="H35" s="68">
        <v>706</v>
      </c>
      <c r="I35" s="68">
        <v>646</v>
      </c>
      <c r="J35" s="68">
        <v>823</v>
      </c>
      <c r="K35" s="68">
        <v>808</v>
      </c>
      <c r="L35" s="68">
        <v>941</v>
      </c>
      <c r="M35" s="134">
        <v>932</v>
      </c>
      <c r="N35" s="68">
        <v>454</v>
      </c>
      <c r="O35" s="134">
        <v>1929</v>
      </c>
      <c r="P35" s="134">
        <f>1487+591</f>
        <v>2078</v>
      </c>
      <c r="Q35" s="134">
        <f t="shared" si="7"/>
        <v>986.3333333333334</v>
      </c>
      <c r="R35" s="68">
        <f>22550+1001</f>
        <v>23551</v>
      </c>
      <c r="S35" s="134">
        <f t="shared" si="8"/>
        <v>1962.5833333333333</v>
      </c>
      <c r="T35" s="68">
        <f t="shared" si="5"/>
        <v>976.2499999999999</v>
      </c>
    </row>
    <row r="36" spans="1:20" ht="19.5" customHeight="1">
      <c r="A36" s="68">
        <f t="shared" si="6"/>
        <v>73530</v>
      </c>
      <c r="B36" s="64"/>
      <c r="C36" s="64"/>
      <c r="D36" s="44" t="s">
        <v>88</v>
      </c>
      <c r="E36" s="68">
        <v>3960</v>
      </c>
      <c r="F36" s="68">
        <v>7589</v>
      </c>
      <c r="G36" s="68">
        <v>2992</v>
      </c>
      <c r="H36" s="68">
        <v>4239</v>
      </c>
      <c r="I36" s="68">
        <v>3725</v>
      </c>
      <c r="J36" s="68">
        <v>10654</v>
      </c>
      <c r="K36" s="68">
        <v>4959</v>
      </c>
      <c r="L36" s="68">
        <v>3131</v>
      </c>
      <c r="M36" s="134">
        <v>5410</v>
      </c>
      <c r="N36" s="68">
        <v>7617</v>
      </c>
      <c r="O36" s="134">
        <v>11615</v>
      </c>
      <c r="P36" s="134">
        <f>11318-3679</f>
        <v>7639</v>
      </c>
      <c r="Q36" s="134">
        <f t="shared" si="7"/>
        <v>6127.5</v>
      </c>
      <c r="R36" s="68">
        <f>65053+18000+3686</f>
        <v>86739</v>
      </c>
      <c r="S36" s="134">
        <f t="shared" si="8"/>
        <v>7228.25</v>
      </c>
      <c r="T36" s="68">
        <f t="shared" si="5"/>
        <v>1100.75</v>
      </c>
    </row>
    <row r="37" spans="1:20" ht="19.5" customHeight="1">
      <c r="A37" s="68">
        <f t="shared" si="6"/>
        <v>75703</v>
      </c>
      <c r="B37" s="64"/>
      <c r="C37" s="64"/>
      <c r="D37" s="44" t="s">
        <v>89</v>
      </c>
      <c r="E37" s="68">
        <v>4523</v>
      </c>
      <c r="F37" s="68">
        <v>3655</v>
      </c>
      <c r="G37" s="68">
        <v>5138</v>
      </c>
      <c r="H37" s="68">
        <v>8650</v>
      </c>
      <c r="I37" s="68">
        <v>7827</v>
      </c>
      <c r="J37" s="68">
        <v>7354</v>
      </c>
      <c r="K37" s="68">
        <v>2392</v>
      </c>
      <c r="L37" s="68">
        <v>7028</v>
      </c>
      <c r="M37" s="134">
        <v>7556</v>
      </c>
      <c r="N37" s="68">
        <v>3900</v>
      </c>
      <c r="O37" s="134">
        <v>6937</v>
      </c>
      <c r="P37" s="134">
        <f>8274+2469</f>
        <v>10743</v>
      </c>
      <c r="Q37" s="134">
        <f t="shared" si="7"/>
        <v>6308.583333333333</v>
      </c>
      <c r="R37" s="68">
        <f>67192+4030-24000</f>
        <v>47222</v>
      </c>
      <c r="S37" s="134">
        <f t="shared" si="8"/>
        <v>3935.1666666666665</v>
      </c>
      <c r="T37" s="68">
        <f t="shared" si="5"/>
        <v>-2373.4166666666665</v>
      </c>
    </row>
    <row r="38" spans="1:20" ht="19.5" customHeight="1">
      <c r="A38" s="68">
        <f t="shared" si="6"/>
        <v>10908</v>
      </c>
      <c r="B38" s="64"/>
      <c r="C38" s="64"/>
      <c r="D38" s="64" t="s">
        <v>90</v>
      </c>
      <c r="E38" s="68">
        <v>584</v>
      </c>
      <c r="F38" s="68">
        <v>1066</v>
      </c>
      <c r="G38" s="68">
        <v>1222</v>
      </c>
      <c r="H38" s="68">
        <v>1026</v>
      </c>
      <c r="I38" s="68">
        <v>748</v>
      </c>
      <c r="J38" s="68">
        <v>756</v>
      </c>
      <c r="K38" s="68">
        <v>1340</v>
      </c>
      <c r="L38" s="68">
        <v>751</v>
      </c>
      <c r="M38" s="134">
        <v>737</v>
      </c>
      <c r="N38" s="68">
        <v>725</v>
      </c>
      <c r="O38" s="134">
        <v>737</v>
      </c>
      <c r="P38" s="134">
        <f>1430-214</f>
        <v>1216</v>
      </c>
      <c r="Q38" s="134">
        <f t="shared" si="7"/>
        <v>909</v>
      </c>
      <c r="R38" s="68">
        <f>5245+2076+481</f>
        <v>7802</v>
      </c>
      <c r="S38" s="134">
        <f t="shared" si="8"/>
        <v>650.1666666666666</v>
      </c>
      <c r="T38" s="68">
        <f t="shared" si="5"/>
        <v>-258.83333333333337</v>
      </c>
    </row>
    <row r="39" spans="1:20" ht="19.5" customHeight="1">
      <c r="A39" s="68">
        <f t="shared" si="6"/>
        <v>48810</v>
      </c>
      <c r="B39" s="64"/>
      <c r="C39" s="64"/>
      <c r="D39" s="64" t="s">
        <v>91</v>
      </c>
      <c r="E39" s="68">
        <v>1467</v>
      </c>
      <c r="F39" s="68">
        <v>1493</v>
      </c>
      <c r="G39" s="68">
        <v>1395</v>
      </c>
      <c r="H39" s="68">
        <v>1510</v>
      </c>
      <c r="I39" s="68">
        <v>7598</v>
      </c>
      <c r="J39" s="68">
        <v>6625</v>
      </c>
      <c r="K39" s="68">
        <v>1443</v>
      </c>
      <c r="L39" s="68">
        <v>1643</v>
      </c>
      <c r="M39" s="134">
        <v>5240</v>
      </c>
      <c r="N39" s="68">
        <v>11747</v>
      </c>
      <c r="O39" s="134">
        <v>8403</v>
      </c>
      <c r="P39" s="134">
        <f>35502-35256</f>
        <v>246</v>
      </c>
      <c r="Q39" s="134">
        <f t="shared" si="7"/>
        <v>4067.5</v>
      </c>
      <c r="R39" s="68">
        <f>30546-604+19670</f>
        <v>49612</v>
      </c>
      <c r="S39" s="134">
        <f>+R39/12</f>
        <v>4134.333333333333</v>
      </c>
      <c r="T39" s="68">
        <f>+S39-Q39</f>
        <v>66.83333333333303</v>
      </c>
    </row>
    <row r="40" spans="1:20" ht="19.5" customHeight="1">
      <c r="A40" s="68">
        <f t="shared" si="6"/>
        <v>704</v>
      </c>
      <c r="B40" s="64"/>
      <c r="C40" s="64"/>
      <c r="D40" s="44" t="s">
        <v>44</v>
      </c>
      <c r="E40" s="68">
        <v>15</v>
      </c>
      <c r="F40" s="68">
        <v>5</v>
      </c>
      <c r="G40" s="68">
        <v>14</v>
      </c>
      <c r="H40" s="68">
        <f>6+8</f>
        <v>14</v>
      </c>
      <c r="I40" s="68">
        <v>5</v>
      </c>
      <c r="J40" s="68">
        <v>52</v>
      </c>
      <c r="K40" s="68">
        <v>5</v>
      </c>
      <c r="L40" s="68">
        <v>15</v>
      </c>
      <c r="M40" s="134">
        <f>267+1</f>
        <v>268</v>
      </c>
      <c r="N40" s="68">
        <f>182+1</f>
        <v>183</v>
      </c>
      <c r="O40" s="134">
        <f>174+1+2-5-44</f>
        <v>128</v>
      </c>
      <c r="P40" s="134">
        <v>0</v>
      </c>
      <c r="Q40" s="134">
        <f t="shared" si="7"/>
        <v>58.666666666666664</v>
      </c>
      <c r="R40" s="68">
        <v>0</v>
      </c>
      <c r="S40" s="134">
        <f>+R40/12</f>
        <v>0</v>
      </c>
      <c r="T40" s="68">
        <f>+S40-Q40</f>
        <v>-58.666666666666664</v>
      </c>
    </row>
    <row r="41" spans="1:20" ht="19.5" customHeight="1">
      <c r="A41" s="68">
        <f t="shared" si="6"/>
        <v>30</v>
      </c>
      <c r="B41" s="64"/>
      <c r="C41" s="64"/>
      <c r="D41" s="44" t="s">
        <v>92</v>
      </c>
      <c r="E41" s="68">
        <v>7</v>
      </c>
      <c r="F41" s="68">
        <v>0</v>
      </c>
      <c r="G41" s="68">
        <v>9</v>
      </c>
      <c r="H41" s="68">
        <v>46</v>
      </c>
      <c r="I41" s="68">
        <v>11</v>
      </c>
      <c r="J41" s="68">
        <v>5</v>
      </c>
      <c r="K41" s="68">
        <v>0</v>
      </c>
      <c r="L41" s="68">
        <v>0</v>
      </c>
      <c r="M41" s="134">
        <v>0</v>
      </c>
      <c r="N41" s="68">
        <v>0</v>
      </c>
      <c r="O41" s="134">
        <v>-49</v>
      </c>
      <c r="P41" s="134">
        <v>1</v>
      </c>
      <c r="Q41" s="134">
        <f t="shared" si="7"/>
        <v>2.5</v>
      </c>
      <c r="R41" s="68">
        <v>0</v>
      </c>
      <c r="S41" s="134">
        <f>+R41/12</f>
        <v>0</v>
      </c>
      <c r="T41" s="68">
        <f>+S41-Q41</f>
        <v>-2.5</v>
      </c>
    </row>
    <row r="42" spans="1:20" ht="19.5" customHeight="1">
      <c r="A42" s="68">
        <f t="shared" si="6"/>
        <v>260</v>
      </c>
      <c r="B42" s="64"/>
      <c r="C42" s="64"/>
      <c r="D42" s="44" t="s">
        <v>93</v>
      </c>
      <c r="E42" s="68">
        <v>3362</v>
      </c>
      <c r="F42" s="68">
        <v>4597</v>
      </c>
      <c r="G42" s="68">
        <v>1206</v>
      </c>
      <c r="H42" s="68">
        <f>4+7+980</f>
        <v>991</v>
      </c>
      <c r="I42" s="68">
        <v>-9190</v>
      </c>
      <c r="J42" s="68">
        <v>-731</v>
      </c>
      <c r="K42" s="68">
        <v>0</v>
      </c>
      <c r="L42" s="68">
        <f>12+13</f>
        <v>25</v>
      </c>
      <c r="M42" s="134">
        <v>0</v>
      </c>
      <c r="N42" s="68">
        <v>0</v>
      </c>
      <c r="O42" s="134">
        <v>0</v>
      </c>
      <c r="P42" s="134">
        <v>0</v>
      </c>
      <c r="Q42" s="134">
        <f t="shared" si="7"/>
        <v>21.666666666666668</v>
      </c>
      <c r="R42" s="68">
        <v>0</v>
      </c>
      <c r="S42" s="134">
        <f t="shared" si="8"/>
        <v>0</v>
      </c>
      <c r="T42" s="68">
        <f t="shared" si="5"/>
        <v>-21.666666666666668</v>
      </c>
    </row>
    <row r="43" spans="1:20" ht="19.5" customHeight="1">
      <c r="A43" s="68">
        <f t="shared" si="6"/>
        <v>151</v>
      </c>
      <c r="B43" s="64"/>
      <c r="C43" s="64"/>
      <c r="D43" s="44" t="s">
        <v>117</v>
      </c>
      <c r="E43" s="68">
        <v>0</v>
      </c>
      <c r="F43" s="68">
        <v>0</v>
      </c>
      <c r="G43" s="68">
        <v>0</v>
      </c>
      <c r="H43" s="68">
        <f>2+11</f>
        <v>13</v>
      </c>
      <c r="I43" s="68">
        <v>38</v>
      </c>
      <c r="J43" s="68">
        <v>0</v>
      </c>
      <c r="K43" s="68">
        <v>0</v>
      </c>
      <c r="L43" s="68">
        <v>19</v>
      </c>
      <c r="M43" s="134">
        <v>9</v>
      </c>
      <c r="N43" s="68">
        <v>63</v>
      </c>
      <c r="O43" s="134">
        <v>0</v>
      </c>
      <c r="P43" s="134">
        <v>9</v>
      </c>
      <c r="Q43" s="134">
        <f t="shared" si="7"/>
        <v>12.583333333333334</v>
      </c>
      <c r="R43" s="68">
        <v>0</v>
      </c>
      <c r="S43" s="134">
        <f t="shared" si="8"/>
        <v>0</v>
      </c>
      <c r="T43" s="68">
        <f t="shared" si="5"/>
        <v>-12.583333333333334</v>
      </c>
    </row>
    <row r="44" spans="1:20" ht="19.5" customHeight="1">
      <c r="A44" s="68">
        <f t="shared" si="6"/>
        <v>1140</v>
      </c>
      <c r="B44" s="64"/>
      <c r="C44" s="64"/>
      <c r="D44" s="44" t="s">
        <v>59</v>
      </c>
      <c r="E44" s="68">
        <v>95</v>
      </c>
      <c r="F44" s="68">
        <v>64</v>
      </c>
      <c r="G44" s="68">
        <f>73+30</f>
        <v>103</v>
      </c>
      <c r="H44" s="68">
        <v>83</v>
      </c>
      <c r="I44" s="68">
        <v>0</v>
      </c>
      <c r="J44" s="68">
        <v>4</v>
      </c>
      <c r="K44" s="68">
        <v>0</v>
      </c>
      <c r="L44" s="68">
        <v>0</v>
      </c>
      <c r="M44" s="134">
        <v>0</v>
      </c>
      <c r="N44" s="68">
        <f>386+2+1</f>
        <v>389</v>
      </c>
      <c r="O44" s="134">
        <v>402</v>
      </c>
      <c r="P44" s="134">
        <v>0</v>
      </c>
      <c r="Q44" s="134">
        <f t="shared" si="7"/>
        <v>95</v>
      </c>
      <c r="R44" s="68">
        <v>0</v>
      </c>
      <c r="S44" s="134">
        <f t="shared" si="8"/>
        <v>0</v>
      </c>
      <c r="T44" s="68">
        <f t="shared" si="5"/>
        <v>-95</v>
      </c>
    </row>
    <row r="45" spans="1:20" ht="19.5" customHeight="1">
      <c r="A45" s="68">
        <f t="shared" si="6"/>
        <v>0</v>
      </c>
      <c r="B45" s="64"/>
      <c r="C45" s="64"/>
      <c r="D45" s="44" t="s">
        <v>95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134">
        <v>0</v>
      </c>
      <c r="N45" s="68">
        <v>0</v>
      </c>
      <c r="O45" s="134">
        <v>0</v>
      </c>
      <c r="P45" s="134">
        <v>0</v>
      </c>
      <c r="Q45" s="134">
        <f t="shared" si="7"/>
        <v>0</v>
      </c>
      <c r="R45" s="68">
        <f>8908-431-457-1001-3686-4030-481+37098+12</f>
        <v>35932</v>
      </c>
      <c r="S45" s="134">
        <f t="shared" si="8"/>
        <v>2994.3333333333335</v>
      </c>
      <c r="T45" s="68">
        <f t="shared" si="5"/>
        <v>2994.3333333333335</v>
      </c>
    </row>
    <row r="46" spans="1:20" s="77" customFormat="1" ht="19.5" customHeight="1">
      <c r="A46" s="112">
        <f>SUM(A30:A45)</f>
        <v>466489</v>
      </c>
      <c r="B46" s="62"/>
      <c r="C46" s="62"/>
      <c r="D46" s="62" t="s">
        <v>47</v>
      </c>
      <c r="E46" s="112">
        <f>SUM(E30:E45)</f>
        <v>32350</v>
      </c>
      <c r="F46" s="112">
        <f>SUM(F30:F45)</f>
        <v>28625</v>
      </c>
      <c r="G46" s="112">
        <f aca="true" t="shared" si="9" ref="G46:T46">SUM(G30:G45)</f>
        <v>30578</v>
      </c>
      <c r="H46" s="112">
        <f t="shared" si="9"/>
        <v>35310</v>
      </c>
      <c r="I46" s="112">
        <f t="shared" si="9"/>
        <v>34426</v>
      </c>
      <c r="J46" s="112">
        <f t="shared" si="9"/>
        <v>44030</v>
      </c>
      <c r="K46" s="112">
        <f t="shared" si="9"/>
        <v>34573</v>
      </c>
      <c r="L46" s="112">
        <f t="shared" si="9"/>
        <v>36288</v>
      </c>
      <c r="M46" s="135">
        <f t="shared" si="9"/>
        <v>39577</v>
      </c>
      <c r="N46" s="112">
        <f t="shared" si="9"/>
        <v>44776</v>
      </c>
      <c r="O46" s="135">
        <f t="shared" si="9"/>
        <v>51410</v>
      </c>
      <c r="P46" s="135">
        <f t="shared" si="9"/>
        <v>54546</v>
      </c>
      <c r="Q46" s="135">
        <f t="shared" si="9"/>
        <v>38874.08333333333</v>
      </c>
      <c r="R46" s="112">
        <f t="shared" si="9"/>
        <v>406715</v>
      </c>
      <c r="S46" s="135">
        <f t="shared" si="9"/>
        <v>33892.916666666664</v>
      </c>
      <c r="T46" s="112">
        <f t="shared" si="9"/>
        <v>-4981.16666666667</v>
      </c>
    </row>
    <row r="47" spans="1:20" s="66" customFormat="1" ht="12" customHeight="1">
      <c r="A47" s="60"/>
      <c r="B47" s="59"/>
      <c r="C47" s="59"/>
      <c r="D47" s="59"/>
      <c r="E47" s="60"/>
      <c r="F47" s="60"/>
      <c r="G47" s="60"/>
      <c r="H47" s="60"/>
      <c r="I47" s="68"/>
      <c r="J47" s="68"/>
      <c r="K47" s="68"/>
      <c r="L47" s="68"/>
      <c r="M47" s="134"/>
      <c r="N47" s="68"/>
      <c r="O47" s="134"/>
      <c r="P47" s="134"/>
      <c r="Q47" s="138"/>
      <c r="R47" s="60"/>
      <c r="S47" s="138"/>
      <c r="T47" s="60"/>
    </row>
    <row r="48" spans="1:20" s="66" customFormat="1" ht="12" customHeight="1">
      <c r="A48" s="60"/>
      <c r="B48" s="59"/>
      <c r="C48" s="59"/>
      <c r="D48" s="59"/>
      <c r="F48" s="60"/>
      <c r="G48" s="60"/>
      <c r="H48" s="60"/>
      <c r="I48" s="68"/>
      <c r="J48" s="68"/>
      <c r="K48" s="68"/>
      <c r="L48" s="68"/>
      <c r="M48" s="134"/>
      <c r="N48" s="68"/>
      <c r="O48" s="134"/>
      <c r="P48" s="134"/>
      <c r="Q48" s="138"/>
      <c r="R48" s="60"/>
      <c r="S48" s="138"/>
      <c r="T48" s="60"/>
    </row>
    <row r="49" spans="1:20" s="65" customFormat="1" ht="15" customHeight="1">
      <c r="A49" s="25" t="s">
        <v>25</v>
      </c>
      <c r="B49" s="57"/>
      <c r="C49" s="58"/>
      <c r="D49" s="56"/>
      <c r="E49" s="69" t="s">
        <v>3</v>
      </c>
      <c r="F49" s="69" t="s">
        <v>3</v>
      </c>
      <c r="G49" s="69" t="s">
        <v>3</v>
      </c>
      <c r="H49" s="69" t="s">
        <v>3</v>
      </c>
      <c r="I49" s="69" t="s">
        <v>3</v>
      </c>
      <c r="J49" s="69" t="s">
        <v>3</v>
      </c>
      <c r="K49" s="69" t="s">
        <v>3</v>
      </c>
      <c r="L49" s="69" t="s">
        <v>3</v>
      </c>
      <c r="M49" s="130" t="s">
        <v>3</v>
      </c>
      <c r="N49" s="69" t="s">
        <v>3</v>
      </c>
      <c r="O49" s="130" t="s">
        <v>3</v>
      </c>
      <c r="P49" s="130" t="s">
        <v>3</v>
      </c>
      <c r="Q49" s="130" t="s">
        <v>39</v>
      </c>
      <c r="R49" s="69" t="s">
        <v>94</v>
      </c>
      <c r="S49" s="130" t="s">
        <v>37</v>
      </c>
      <c r="T49" s="69" t="s">
        <v>28</v>
      </c>
    </row>
    <row r="50" spans="1:20" s="65" customFormat="1" ht="15" customHeight="1">
      <c r="A50" s="25" t="s">
        <v>3</v>
      </c>
      <c r="B50" s="57"/>
      <c r="C50" s="58"/>
      <c r="D50" s="56"/>
      <c r="E50" s="76" t="s">
        <v>76</v>
      </c>
      <c r="F50" s="76" t="s">
        <v>77</v>
      </c>
      <c r="G50" s="76" t="s">
        <v>78</v>
      </c>
      <c r="H50" s="76" t="s">
        <v>79</v>
      </c>
      <c r="I50" s="76" t="s">
        <v>80</v>
      </c>
      <c r="J50" s="76" t="s">
        <v>81</v>
      </c>
      <c r="K50" s="76" t="s">
        <v>82</v>
      </c>
      <c r="L50" s="76" t="s">
        <v>83</v>
      </c>
      <c r="M50" s="131" t="s">
        <v>84</v>
      </c>
      <c r="N50" s="76" t="s">
        <v>85</v>
      </c>
      <c r="O50" s="131" t="s">
        <v>86</v>
      </c>
      <c r="P50" s="131" t="s">
        <v>136</v>
      </c>
      <c r="Q50" s="130" t="s">
        <v>36</v>
      </c>
      <c r="R50" s="69" t="s">
        <v>27</v>
      </c>
      <c r="S50" s="130" t="s">
        <v>26</v>
      </c>
      <c r="T50" s="69"/>
    </row>
    <row r="51" spans="1:20" s="65" customFormat="1" ht="15" customHeight="1">
      <c r="A51" s="27"/>
      <c r="B51" s="57"/>
      <c r="C51" s="58"/>
      <c r="D51" s="56"/>
      <c r="E51" s="71"/>
      <c r="F51" s="71"/>
      <c r="G51" s="71"/>
      <c r="H51" s="71"/>
      <c r="I51" s="71"/>
      <c r="J51" s="71"/>
      <c r="K51" s="71"/>
      <c r="L51" s="71"/>
      <c r="M51" s="132"/>
      <c r="N51" s="71"/>
      <c r="O51" s="132"/>
      <c r="P51" s="132"/>
      <c r="Q51" s="130" t="s">
        <v>29</v>
      </c>
      <c r="R51" s="69"/>
      <c r="S51" s="130" t="s">
        <v>27</v>
      </c>
      <c r="T51" s="69"/>
    </row>
    <row r="52" spans="1:20" s="65" customFormat="1" ht="15" customHeight="1">
      <c r="A52" s="27"/>
      <c r="B52" s="57"/>
      <c r="C52" s="58"/>
      <c r="D52" s="56"/>
      <c r="E52" s="71"/>
      <c r="F52" s="71"/>
      <c r="G52" s="71"/>
      <c r="H52" s="71"/>
      <c r="I52" s="71"/>
      <c r="J52" s="71"/>
      <c r="K52" s="71"/>
      <c r="L52" s="71"/>
      <c r="M52" s="132"/>
      <c r="N52" s="71"/>
      <c r="O52" s="132"/>
      <c r="P52" s="132"/>
      <c r="Q52" s="130"/>
      <c r="R52" s="69"/>
      <c r="S52" s="130"/>
      <c r="T52" s="69"/>
    </row>
    <row r="53" spans="1:2" ht="19.5" customHeight="1">
      <c r="A53" s="68"/>
      <c r="B53" s="57" t="s">
        <v>112</v>
      </c>
    </row>
    <row r="54" spans="1:20" ht="19.5" customHeight="1">
      <c r="A54" s="68">
        <f>SUM(E54:P54)</f>
        <v>3</v>
      </c>
      <c r="B54" s="44"/>
      <c r="C54" s="44"/>
      <c r="D54" s="44" t="s">
        <v>74</v>
      </c>
      <c r="E54" s="68">
        <v>13</v>
      </c>
      <c r="F54" s="68">
        <v>0</v>
      </c>
      <c r="G54" s="68">
        <v>1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134">
        <v>11</v>
      </c>
      <c r="N54" s="68">
        <v>8</v>
      </c>
      <c r="O54" s="134">
        <v>-8</v>
      </c>
      <c r="P54" s="134">
        <f>11-33</f>
        <v>-22</v>
      </c>
      <c r="Q54" s="134">
        <f>+A54/12</f>
        <v>0.25</v>
      </c>
      <c r="R54" s="68">
        <v>0</v>
      </c>
      <c r="S54" s="134">
        <f aca="true" t="shared" si="10" ref="S54:S65">+R54/12</f>
        <v>0</v>
      </c>
      <c r="T54" s="68">
        <f aca="true" t="shared" si="11" ref="T54:T65">+S54-Q54</f>
        <v>-0.25</v>
      </c>
    </row>
    <row r="55" spans="1:20" ht="19.5" customHeight="1">
      <c r="A55" s="68">
        <f aca="true" t="shared" si="12" ref="A55:A65">SUM(E55:P55)</f>
        <v>0</v>
      </c>
      <c r="B55" s="44"/>
      <c r="C55" s="44"/>
      <c r="D55" s="44" t="s">
        <v>96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134">
        <v>0</v>
      </c>
      <c r="N55" s="68">
        <v>0</v>
      </c>
      <c r="O55" s="134">
        <v>0</v>
      </c>
      <c r="P55" s="134">
        <v>0</v>
      </c>
      <c r="Q55" s="134">
        <f aca="true" t="shared" si="13" ref="Q55:Q65">+A55/12</f>
        <v>0</v>
      </c>
      <c r="R55" s="68">
        <v>0</v>
      </c>
      <c r="S55" s="134">
        <f t="shared" si="10"/>
        <v>0</v>
      </c>
      <c r="T55" s="68">
        <f>+S55-Q55</f>
        <v>0</v>
      </c>
    </row>
    <row r="56" spans="1:20" ht="19.5" customHeight="1">
      <c r="A56" s="68">
        <f t="shared" si="12"/>
        <v>1546884</v>
      </c>
      <c r="B56" s="44"/>
      <c r="C56" s="44"/>
      <c r="D56" s="44" t="s">
        <v>32</v>
      </c>
      <c r="E56" s="68">
        <f>141217+300</f>
        <v>141517</v>
      </c>
      <c r="F56" s="68">
        <f>111627+20223</f>
        <v>131850</v>
      </c>
      <c r="G56" s="68">
        <v>116359</v>
      </c>
      <c r="H56" s="68">
        <v>125417</v>
      </c>
      <c r="I56" s="68">
        <v>116894</v>
      </c>
      <c r="J56" s="68">
        <v>118073</v>
      </c>
      <c r="K56" s="68">
        <v>102551</v>
      </c>
      <c r="L56" s="68">
        <f>125829-15</f>
        <v>125814</v>
      </c>
      <c r="M56" s="134">
        <v>140312</v>
      </c>
      <c r="N56" s="68">
        <f>126172+609</f>
        <v>126781</v>
      </c>
      <c r="O56" s="134">
        <v>126389</v>
      </c>
      <c r="P56" s="134">
        <f>185888+120-11082+1</f>
        <v>174927</v>
      </c>
      <c r="Q56" s="134">
        <f t="shared" si="13"/>
        <v>128907</v>
      </c>
      <c r="R56" s="68">
        <f>1275357-7555+44892+36524+4783+7555+271138+19950+4970+5000-25133+24000-6252</f>
        <v>1655229</v>
      </c>
      <c r="S56" s="134">
        <f t="shared" si="10"/>
        <v>137935.75</v>
      </c>
      <c r="T56" s="68">
        <f t="shared" si="11"/>
        <v>9028.75</v>
      </c>
    </row>
    <row r="57" spans="1:20" ht="19.5" customHeight="1">
      <c r="A57" s="68">
        <f t="shared" si="12"/>
        <v>31</v>
      </c>
      <c r="B57" s="64"/>
      <c r="C57" s="64"/>
      <c r="D57" s="64" t="s">
        <v>75</v>
      </c>
      <c r="E57" s="68">
        <v>-13</v>
      </c>
      <c r="F57" s="68">
        <v>7</v>
      </c>
      <c r="G57" s="68">
        <v>2</v>
      </c>
      <c r="H57" s="68">
        <v>17</v>
      </c>
      <c r="I57" s="68">
        <v>0</v>
      </c>
      <c r="J57" s="68">
        <v>1</v>
      </c>
      <c r="K57" s="68">
        <v>0</v>
      </c>
      <c r="L57" s="68">
        <v>0</v>
      </c>
      <c r="M57" s="134">
        <v>12</v>
      </c>
      <c r="N57" s="68">
        <v>2</v>
      </c>
      <c r="O57" s="134">
        <v>-6</v>
      </c>
      <c r="P57" s="134">
        <f>7+2</f>
        <v>9</v>
      </c>
      <c r="Q57" s="134">
        <f t="shared" si="13"/>
        <v>2.5833333333333335</v>
      </c>
      <c r="R57" s="68">
        <v>0</v>
      </c>
      <c r="S57" s="134">
        <f t="shared" si="10"/>
        <v>0</v>
      </c>
      <c r="T57" s="68">
        <f t="shared" si="11"/>
        <v>-2.5833333333333335</v>
      </c>
    </row>
    <row r="58" spans="1:20" ht="19.5" customHeight="1">
      <c r="A58" s="68">
        <f t="shared" si="12"/>
        <v>186</v>
      </c>
      <c r="B58" s="64"/>
      <c r="C58" s="64"/>
      <c r="D58" s="44" t="s">
        <v>87</v>
      </c>
      <c r="E58" s="68">
        <v>35</v>
      </c>
      <c r="F58" s="68">
        <v>62</v>
      </c>
      <c r="G58" s="68">
        <v>63</v>
      </c>
      <c r="H58" s="68">
        <v>28</v>
      </c>
      <c r="I58" s="68">
        <v>0</v>
      </c>
      <c r="J58" s="68">
        <v>0</v>
      </c>
      <c r="K58" s="68">
        <v>0</v>
      </c>
      <c r="L58" s="68">
        <v>0</v>
      </c>
      <c r="M58" s="134">
        <v>0</v>
      </c>
      <c r="N58" s="68">
        <v>0</v>
      </c>
      <c r="O58" s="134">
        <v>0</v>
      </c>
      <c r="P58" s="134">
        <v>-2</v>
      </c>
      <c r="Q58" s="134">
        <f t="shared" si="13"/>
        <v>15.5</v>
      </c>
      <c r="R58" s="68">
        <v>0</v>
      </c>
      <c r="S58" s="134">
        <f t="shared" si="10"/>
        <v>0</v>
      </c>
      <c r="T58" s="68">
        <f t="shared" si="11"/>
        <v>-15.5</v>
      </c>
    </row>
    <row r="59" spans="1:20" ht="19.5" customHeight="1">
      <c r="A59" s="68">
        <f t="shared" si="12"/>
        <v>20</v>
      </c>
      <c r="B59" s="64"/>
      <c r="C59" s="64"/>
      <c r="D59" s="44" t="s">
        <v>88</v>
      </c>
      <c r="E59" s="68">
        <v>0</v>
      </c>
      <c r="F59" s="68">
        <v>0</v>
      </c>
      <c r="G59" s="68">
        <v>0</v>
      </c>
      <c r="H59" s="68">
        <v>0</v>
      </c>
      <c r="I59" s="68">
        <v>50</v>
      </c>
      <c r="J59" s="68">
        <v>126</v>
      </c>
      <c r="K59" s="68">
        <v>0</v>
      </c>
      <c r="L59" s="68">
        <v>0</v>
      </c>
      <c r="M59" s="134">
        <v>0</v>
      </c>
      <c r="N59" s="68">
        <v>0</v>
      </c>
      <c r="O59" s="134">
        <v>0</v>
      </c>
      <c r="P59" s="134">
        <v>-156</v>
      </c>
      <c r="Q59" s="134">
        <f t="shared" si="13"/>
        <v>1.6666666666666667</v>
      </c>
      <c r="R59" s="68">
        <v>0</v>
      </c>
      <c r="S59" s="134">
        <f t="shared" si="10"/>
        <v>0</v>
      </c>
      <c r="T59" s="68">
        <f t="shared" si="11"/>
        <v>-1.6666666666666667</v>
      </c>
    </row>
    <row r="60" spans="1:17" ht="19.5" customHeight="1">
      <c r="A60" s="68">
        <f t="shared" si="12"/>
        <v>0</v>
      </c>
      <c r="B60" s="64"/>
      <c r="C60" s="64"/>
      <c r="D60" s="44" t="s">
        <v>90</v>
      </c>
      <c r="L60" s="68">
        <v>0</v>
      </c>
      <c r="M60" s="134">
        <v>0</v>
      </c>
      <c r="N60" s="68">
        <v>0</v>
      </c>
      <c r="O60" s="134">
        <v>-24</v>
      </c>
      <c r="P60" s="134">
        <v>24</v>
      </c>
      <c r="Q60" s="134">
        <f t="shared" si="13"/>
        <v>0</v>
      </c>
    </row>
    <row r="61" spans="1:20" ht="19.5" customHeight="1">
      <c r="A61" s="68">
        <f t="shared" si="12"/>
        <v>70</v>
      </c>
      <c r="B61" s="64"/>
      <c r="C61" s="64"/>
      <c r="D61" s="44" t="s">
        <v>89</v>
      </c>
      <c r="E61" s="68">
        <v>44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134">
        <v>0</v>
      </c>
      <c r="N61" s="68">
        <v>0</v>
      </c>
      <c r="O61" s="134">
        <v>0</v>
      </c>
      <c r="P61" s="134">
        <f>3+23</f>
        <v>26</v>
      </c>
      <c r="Q61" s="134">
        <f t="shared" si="13"/>
        <v>5.833333333333333</v>
      </c>
      <c r="R61" s="68">
        <f>49000-25395</f>
        <v>23605</v>
      </c>
      <c r="S61" s="134">
        <f t="shared" si="10"/>
        <v>1967.0833333333333</v>
      </c>
      <c r="T61" s="68">
        <f t="shared" si="11"/>
        <v>1961.25</v>
      </c>
    </row>
    <row r="62" spans="1:20" ht="19.5" customHeight="1">
      <c r="A62" s="68">
        <f t="shared" si="12"/>
        <v>0</v>
      </c>
      <c r="B62" s="64"/>
      <c r="C62" s="64"/>
      <c r="D62" s="64" t="s">
        <v>91</v>
      </c>
      <c r="E62" s="68">
        <v>19</v>
      </c>
      <c r="F62" s="68">
        <v>312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134">
        <v>-331</v>
      </c>
      <c r="N62" s="68">
        <v>0</v>
      </c>
      <c r="O62" s="134">
        <v>0</v>
      </c>
      <c r="P62" s="134">
        <v>0</v>
      </c>
      <c r="Q62" s="134">
        <f t="shared" si="13"/>
        <v>0</v>
      </c>
      <c r="R62" s="68">
        <v>0</v>
      </c>
      <c r="S62" s="134">
        <f t="shared" si="10"/>
        <v>0</v>
      </c>
      <c r="T62" s="68">
        <f t="shared" si="11"/>
        <v>0</v>
      </c>
    </row>
    <row r="63" spans="1:20" ht="19.5" customHeight="1">
      <c r="A63" s="68">
        <f t="shared" si="12"/>
        <v>2</v>
      </c>
      <c r="B63" s="64"/>
      <c r="C63" s="64"/>
      <c r="D63" s="44" t="s">
        <v>92</v>
      </c>
      <c r="E63" s="68">
        <v>5</v>
      </c>
      <c r="F63" s="68">
        <v>0</v>
      </c>
      <c r="G63" s="68">
        <v>20</v>
      </c>
      <c r="H63" s="68">
        <v>5</v>
      </c>
      <c r="I63" s="68">
        <v>1</v>
      </c>
      <c r="J63" s="68">
        <v>22</v>
      </c>
      <c r="K63" s="68">
        <v>31</v>
      </c>
      <c r="L63" s="68">
        <v>0</v>
      </c>
      <c r="M63" s="134">
        <v>0</v>
      </c>
      <c r="N63" s="68">
        <v>-95</v>
      </c>
      <c r="O63" s="134">
        <v>49</v>
      </c>
      <c r="P63" s="134">
        <f>-49+13</f>
        <v>-36</v>
      </c>
      <c r="Q63" s="134">
        <f t="shared" si="13"/>
        <v>0.16666666666666666</v>
      </c>
      <c r="R63" s="68">
        <v>0</v>
      </c>
      <c r="S63" s="134">
        <f t="shared" si="10"/>
        <v>0</v>
      </c>
      <c r="T63" s="68">
        <f t="shared" si="11"/>
        <v>-0.16666666666666666</v>
      </c>
    </row>
    <row r="64" spans="1:20" ht="19.5" customHeight="1">
      <c r="A64" s="68">
        <f t="shared" si="12"/>
        <v>-18</v>
      </c>
      <c r="B64" s="64"/>
      <c r="C64" s="64"/>
      <c r="D64" s="44" t="s">
        <v>43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2</v>
      </c>
      <c r="K64" s="68">
        <v>5</v>
      </c>
      <c r="L64" s="68">
        <v>0</v>
      </c>
      <c r="M64" s="134">
        <v>0</v>
      </c>
      <c r="N64" s="68">
        <v>0</v>
      </c>
      <c r="O64" s="134">
        <v>0</v>
      </c>
      <c r="P64" s="134">
        <v>-25</v>
      </c>
      <c r="Q64" s="134">
        <f t="shared" si="13"/>
        <v>-1.5</v>
      </c>
      <c r="R64" s="68">
        <v>0</v>
      </c>
      <c r="S64" s="134">
        <f t="shared" si="10"/>
        <v>0</v>
      </c>
      <c r="T64" s="68">
        <f>+S64-Q64</f>
        <v>1.5</v>
      </c>
    </row>
    <row r="65" spans="1:20" ht="19.5" customHeight="1">
      <c r="A65" s="68">
        <f t="shared" si="12"/>
        <v>0</v>
      </c>
      <c r="B65" s="64"/>
      <c r="C65" s="64"/>
      <c r="D65" s="44" t="s">
        <v>95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134">
        <v>0</v>
      </c>
      <c r="N65" s="68">
        <v>0</v>
      </c>
      <c r="O65" s="134">
        <v>0</v>
      </c>
      <c r="P65" s="134">
        <v>0</v>
      </c>
      <c r="Q65" s="134">
        <f t="shared" si="13"/>
        <v>0</v>
      </c>
      <c r="R65" s="68">
        <v>61901</v>
      </c>
      <c r="S65" s="134">
        <f t="shared" si="10"/>
        <v>5158.416666666667</v>
      </c>
      <c r="T65" s="68">
        <f t="shared" si="11"/>
        <v>5158.416666666667</v>
      </c>
    </row>
    <row r="66" spans="1:20" s="77" customFormat="1" ht="19.5" customHeight="1">
      <c r="A66" s="112">
        <f>SUM(A54:A65)</f>
        <v>1547178</v>
      </c>
      <c r="B66" s="62"/>
      <c r="C66" s="62"/>
      <c r="D66" s="62" t="s">
        <v>48</v>
      </c>
      <c r="E66" s="112">
        <f>SUM(E54:E65)</f>
        <v>141620</v>
      </c>
      <c r="F66" s="112">
        <f>SUM(F54:F65)</f>
        <v>132231</v>
      </c>
      <c r="G66" s="112">
        <f aca="true" t="shared" si="14" ref="G66:T66">SUM(G54:G65)</f>
        <v>116445</v>
      </c>
      <c r="H66" s="112">
        <f t="shared" si="14"/>
        <v>125467</v>
      </c>
      <c r="I66" s="112">
        <f t="shared" si="14"/>
        <v>116945</v>
      </c>
      <c r="J66" s="112">
        <f t="shared" si="14"/>
        <v>118224</v>
      </c>
      <c r="K66" s="112">
        <f t="shared" si="14"/>
        <v>102587</v>
      </c>
      <c r="L66" s="112">
        <f t="shared" si="14"/>
        <v>125814</v>
      </c>
      <c r="M66" s="135">
        <f t="shared" si="14"/>
        <v>140004</v>
      </c>
      <c r="N66" s="112">
        <f t="shared" si="14"/>
        <v>126696</v>
      </c>
      <c r="O66" s="135">
        <f t="shared" si="14"/>
        <v>126400</v>
      </c>
      <c r="P66" s="135">
        <f t="shared" si="14"/>
        <v>174745</v>
      </c>
      <c r="Q66" s="135">
        <f t="shared" si="14"/>
        <v>128931.5</v>
      </c>
      <c r="R66" s="112">
        <f t="shared" si="14"/>
        <v>1740735</v>
      </c>
      <c r="S66" s="135">
        <f t="shared" si="14"/>
        <v>145061.25</v>
      </c>
      <c r="T66" s="112">
        <f t="shared" si="14"/>
        <v>16129.75</v>
      </c>
    </row>
    <row r="67" spans="1:20" s="77" customFormat="1" ht="12" customHeight="1">
      <c r="A67" s="75"/>
      <c r="B67" s="62"/>
      <c r="C67" s="62"/>
      <c r="D67" s="62"/>
      <c r="E67" s="75"/>
      <c r="F67" s="75"/>
      <c r="G67" s="75"/>
      <c r="H67" s="75"/>
      <c r="I67" s="75"/>
      <c r="J67" s="75"/>
      <c r="K67" s="75"/>
      <c r="L67" s="75"/>
      <c r="M67" s="133"/>
      <c r="N67" s="75"/>
      <c r="O67" s="133"/>
      <c r="P67" s="133"/>
      <c r="Q67" s="133"/>
      <c r="R67" s="75"/>
      <c r="S67" s="133"/>
      <c r="T67" s="75"/>
    </row>
    <row r="68" spans="1:20" s="77" customFormat="1" ht="12" customHeight="1">
      <c r="A68" s="75"/>
      <c r="B68" s="62"/>
      <c r="C68" s="62"/>
      <c r="D68" s="62"/>
      <c r="E68" s="60"/>
      <c r="F68" s="75"/>
      <c r="G68" s="75"/>
      <c r="H68" s="75"/>
      <c r="I68" s="75"/>
      <c r="J68" s="75"/>
      <c r="K68" s="75"/>
      <c r="L68" s="75"/>
      <c r="M68" s="133"/>
      <c r="N68" s="75"/>
      <c r="O68" s="133"/>
      <c r="P68" s="133"/>
      <c r="Q68" s="133"/>
      <c r="R68" s="75"/>
      <c r="S68" s="133"/>
      <c r="T68" s="75"/>
    </row>
    <row r="69" spans="1:20" s="65" customFormat="1" ht="15" customHeight="1">
      <c r="A69" s="25" t="s">
        <v>25</v>
      </c>
      <c r="B69" s="57"/>
      <c r="C69" s="58"/>
      <c r="D69" s="56"/>
      <c r="E69" s="69" t="s">
        <v>3</v>
      </c>
      <c r="F69" s="69" t="s">
        <v>3</v>
      </c>
      <c r="G69" s="69" t="s">
        <v>3</v>
      </c>
      <c r="H69" s="69" t="s">
        <v>3</v>
      </c>
      <c r="I69" s="69" t="s">
        <v>3</v>
      </c>
      <c r="J69" s="69" t="s">
        <v>3</v>
      </c>
      <c r="K69" s="69" t="s">
        <v>3</v>
      </c>
      <c r="L69" s="69" t="s">
        <v>3</v>
      </c>
      <c r="M69" s="130" t="s">
        <v>3</v>
      </c>
      <c r="N69" s="69" t="s">
        <v>3</v>
      </c>
      <c r="O69" s="130" t="s">
        <v>3</v>
      </c>
      <c r="P69" s="130" t="s">
        <v>3</v>
      </c>
      <c r="Q69" s="130" t="s">
        <v>39</v>
      </c>
      <c r="R69" s="69" t="s">
        <v>94</v>
      </c>
      <c r="S69" s="130" t="s">
        <v>37</v>
      </c>
      <c r="T69" s="69" t="s">
        <v>28</v>
      </c>
    </row>
    <row r="70" spans="1:20" s="65" customFormat="1" ht="15" customHeight="1">
      <c r="A70" s="25" t="s">
        <v>3</v>
      </c>
      <c r="B70" s="57"/>
      <c r="C70" s="58"/>
      <c r="E70" s="76" t="s">
        <v>76</v>
      </c>
      <c r="F70" s="76" t="s">
        <v>77</v>
      </c>
      <c r="G70" s="76" t="s">
        <v>78</v>
      </c>
      <c r="H70" s="76" t="s">
        <v>79</v>
      </c>
      <c r="I70" s="76" t="s">
        <v>80</v>
      </c>
      <c r="J70" s="76" t="s">
        <v>81</v>
      </c>
      <c r="K70" s="76" t="s">
        <v>82</v>
      </c>
      <c r="L70" s="76" t="s">
        <v>83</v>
      </c>
      <c r="M70" s="131" t="s">
        <v>84</v>
      </c>
      <c r="N70" s="76" t="s">
        <v>85</v>
      </c>
      <c r="O70" s="131" t="s">
        <v>86</v>
      </c>
      <c r="P70" s="131" t="s">
        <v>136</v>
      </c>
      <c r="Q70" s="130" t="s">
        <v>36</v>
      </c>
      <c r="R70" s="69" t="s">
        <v>27</v>
      </c>
      <c r="S70" s="130" t="s">
        <v>26</v>
      </c>
      <c r="T70" s="69"/>
    </row>
    <row r="71" spans="1:20" s="65" customFormat="1" ht="15" customHeight="1">
      <c r="A71" s="27"/>
      <c r="B71" s="57"/>
      <c r="C71" s="58"/>
      <c r="D71" s="56"/>
      <c r="E71" s="71"/>
      <c r="F71" s="71"/>
      <c r="G71" s="71"/>
      <c r="H71" s="71"/>
      <c r="I71" s="71"/>
      <c r="J71" s="71"/>
      <c r="K71" s="71"/>
      <c r="L71" s="71"/>
      <c r="M71" s="132"/>
      <c r="N71" s="71"/>
      <c r="O71" s="132"/>
      <c r="P71" s="132"/>
      <c r="Q71" s="130" t="s">
        <v>29</v>
      </c>
      <c r="R71" s="69"/>
      <c r="S71" s="130" t="s">
        <v>27</v>
      </c>
      <c r="T71" s="69"/>
    </row>
    <row r="72" spans="1:18" ht="19.5" customHeight="1">
      <c r="A72" s="68"/>
      <c r="B72" s="57" t="s">
        <v>113</v>
      </c>
      <c r="R72" s="68" t="s">
        <v>129</v>
      </c>
    </row>
    <row r="73" spans="1:20" ht="19.5" customHeight="1">
      <c r="A73" s="68">
        <f>SUM(E73:P73)</f>
        <v>10009</v>
      </c>
      <c r="B73" s="44"/>
      <c r="C73" s="44"/>
      <c r="D73" s="44" t="s">
        <v>73</v>
      </c>
      <c r="E73" s="68">
        <v>611</v>
      </c>
      <c r="F73" s="68">
        <v>807</v>
      </c>
      <c r="G73" s="68">
        <v>742</v>
      </c>
      <c r="H73" s="68">
        <v>1180</v>
      </c>
      <c r="I73" s="68">
        <v>741</v>
      </c>
      <c r="J73" s="68">
        <v>826</v>
      </c>
      <c r="K73" s="68">
        <v>794</v>
      </c>
      <c r="L73" s="68">
        <v>829</v>
      </c>
      <c r="M73" s="134">
        <v>824</v>
      </c>
      <c r="N73" s="68">
        <v>-29</v>
      </c>
      <c r="O73" s="134">
        <f>1266+19</f>
        <v>1285</v>
      </c>
      <c r="P73" s="134">
        <v>1399</v>
      </c>
      <c r="Q73" s="134">
        <f>+A73/12</f>
        <v>834.0833333333334</v>
      </c>
      <c r="R73" s="68">
        <f>10220+432</f>
        <v>10652</v>
      </c>
      <c r="S73" s="134">
        <f aca="true" t="shared" si="15" ref="S73:S82">+R73/12</f>
        <v>887.6666666666666</v>
      </c>
      <c r="T73" s="68">
        <f aca="true" t="shared" si="16" ref="T73:T82">+S73-Q73</f>
        <v>53.58333333333326</v>
      </c>
    </row>
    <row r="74" spans="1:20" ht="19.5" customHeight="1">
      <c r="A74" s="68">
        <f aca="true" t="shared" si="17" ref="A74:A82">SUM(E74:P74)</f>
        <v>100602</v>
      </c>
      <c r="B74" s="44"/>
      <c r="C74" s="44"/>
      <c r="D74" s="44" t="s">
        <v>74</v>
      </c>
      <c r="E74" s="68">
        <v>7422</v>
      </c>
      <c r="F74" s="68">
        <v>6785</v>
      </c>
      <c r="G74" s="68">
        <v>6444</v>
      </c>
      <c r="H74" s="68">
        <v>6927</v>
      </c>
      <c r="I74" s="68">
        <v>7152</v>
      </c>
      <c r="J74" s="68">
        <v>7794</v>
      </c>
      <c r="K74" s="68">
        <v>7395</v>
      </c>
      <c r="L74" s="68">
        <v>6937</v>
      </c>
      <c r="M74" s="134">
        <v>6608</v>
      </c>
      <c r="N74" s="68">
        <v>6983</v>
      </c>
      <c r="O74" s="134">
        <f>7884+10355</f>
        <v>18239</v>
      </c>
      <c r="P74" s="134">
        <v>11916</v>
      </c>
      <c r="Q74" s="134">
        <f aca="true" t="shared" si="18" ref="Q74:Q82">+A74/12</f>
        <v>8383.5</v>
      </c>
      <c r="R74" s="68">
        <f>96170-10293+9458+4487</f>
        <v>99822</v>
      </c>
      <c r="S74" s="134">
        <f t="shared" si="15"/>
        <v>8318.5</v>
      </c>
      <c r="T74" s="68">
        <f t="shared" si="16"/>
        <v>-65</v>
      </c>
    </row>
    <row r="75" spans="1:20" ht="19.5" customHeight="1">
      <c r="A75" s="68">
        <f t="shared" si="17"/>
        <v>69</v>
      </c>
      <c r="B75" s="44"/>
      <c r="C75" s="44"/>
      <c r="D75" s="44" t="s">
        <v>32</v>
      </c>
      <c r="E75" s="68">
        <v>-191</v>
      </c>
      <c r="F75" s="68">
        <v>85</v>
      </c>
      <c r="G75" s="68">
        <v>-72</v>
      </c>
      <c r="H75" s="68">
        <v>-260</v>
      </c>
      <c r="I75" s="68">
        <v>30</v>
      </c>
      <c r="J75" s="68">
        <v>34</v>
      </c>
      <c r="K75" s="68">
        <v>125</v>
      </c>
      <c r="L75" s="68">
        <v>15</v>
      </c>
      <c r="M75" s="134">
        <v>1</v>
      </c>
      <c r="N75" s="68">
        <v>326</v>
      </c>
      <c r="O75" s="134">
        <f>2-65+24</f>
        <v>-39</v>
      </c>
      <c r="P75" s="134">
        <f>8+7</f>
        <v>15</v>
      </c>
      <c r="Q75" s="134">
        <f t="shared" si="18"/>
        <v>5.75</v>
      </c>
      <c r="R75" s="68">
        <v>9630</v>
      </c>
      <c r="S75" s="134">
        <f t="shared" si="15"/>
        <v>802.5</v>
      </c>
      <c r="T75" s="68">
        <f t="shared" si="16"/>
        <v>796.75</v>
      </c>
    </row>
    <row r="76" spans="1:20" ht="19.5" customHeight="1">
      <c r="A76" s="68">
        <f t="shared" si="17"/>
        <v>55778</v>
      </c>
      <c r="B76" s="64"/>
      <c r="C76" s="64"/>
      <c r="D76" s="64" t="s">
        <v>75</v>
      </c>
      <c r="E76" s="68">
        <v>5011</v>
      </c>
      <c r="F76" s="68">
        <v>4340</v>
      </c>
      <c r="G76" s="68">
        <v>4131</v>
      </c>
      <c r="H76" s="68">
        <v>5070</v>
      </c>
      <c r="I76" s="68">
        <v>4698</v>
      </c>
      <c r="J76" s="68">
        <v>4615</v>
      </c>
      <c r="K76" s="68">
        <v>4519</v>
      </c>
      <c r="L76" s="68">
        <v>4498</v>
      </c>
      <c r="M76" s="134">
        <v>4419</v>
      </c>
      <c r="N76" s="68">
        <v>5049</v>
      </c>
      <c r="O76" s="134">
        <f>4645+45</f>
        <v>4690</v>
      </c>
      <c r="P76" s="134">
        <v>4738</v>
      </c>
      <c r="Q76" s="134">
        <f t="shared" si="18"/>
        <v>4648.166666666667</v>
      </c>
      <c r="R76" s="68">
        <f>63157+3057</f>
        <v>66214</v>
      </c>
      <c r="S76" s="134">
        <f t="shared" si="15"/>
        <v>5517.833333333333</v>
      </c>
      <c r="T76" s="68">
        <f t="shared" si="16"/>
        <v>869.6666666666661</v>
      </c>
    </row>
    <row r="77" spans="1:20" ht="19.5" customHeight="1">
      <c r="A77" s="68">
        <f t="shared" si="17"/>
        <v>1</v>
      </c>
      <c r="B77" s="64"/>
      <c r="C77" s="64"/>
      <c r="D77" s="44" t="s">
        <v>89</v>
      </c>
      <c r="E77" s="68">
        <v>0</v>
      </c>
      <c r="F77" s="68">
        <v>0</v>
      </c>
      <c r="G77" s="68">
        <v>1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134">
        <v>0</v>
      </c>
      <c r="N77" s="68">
        <v>-3</v>
      </c>
      <c r="O77" s="134">
        <v>2</v>
      </c>
      <c r="P77" s="134">
        <v>1</v>
      </c>
      <c r="Q77" s="134">
        <f t="shared" si="18"/>
        <v>0.08333333333333333</v>
      </c>
      <c r="R77" s="68">
        <v>0</v>
      </c>
      <c r="S77" s="134">
        <f t="shared" si="15"/>
        <v>0</v>
      </c>
      <c r="T77" s="68">
        <f t="shared" si="16"/>
        <v>-0.08333333333333333</v>
      </c>
    </row>
    <row r="78" spans="1:20" ht="19.5" customHeight="1">
      <c r="A78" s="68">
        <f t="shared" si="17"/>
        <v>37</v>
      </c>
      <c r="B78" s="64"/>
      <c r="C78" s="64"/>
      <c r="D78" s="44" t="s">
        <v>88</v>
      </c>
      <c r="L78" s="68">
        <v>0</v>
      </c>
      <c r="M78" s="134">
        <v>0</v>
      </c>
      <c r="N78" s="68">
        <v>22</v>
      </c>
      <c r="O78" s="134">
        <v>15</v>
      </c>
      <c r="P78" s="134">
        <v>0</v>
      </c>
      <c r="Q78" s="134">
        <f t="shared" si="18"/>
        <v>3.0833333333333335</v>
      </c>
      <c r="R78" s="68">
        <v>0</v>
      </c>
      <c r="S78" s="134">
        <f t="shared" si="15"/>
        <v>0</v>
      </c>
      <c r="T78" s="68">
        <f t="shared" si="16"/>
        <v>-3.0833333333333335</v>
      </c>
    </row>
    <row r="79" spans="1:20" ht="19.5" customHeight="1">
      <c r="A79" s="68">
        <f t="shared" si="17"/>
        <v>0</v>
      </c>
      <c r="B79" s="64"/>
      <c r="C79" s="64"/>
      <c r="D79" s="44" t="s">
        <v>91</v>
      </c>
      <c r="E79" s="68">
        <v>0</v>
      </c>
      <c r="F79" s="68">
        <v>0</v>
      </c>
      <c r="G79" s="68">
        <v>0</v>
      </c>
      <c r="H79" s="68">
        <v>2</v>
      </c>
      <c r="I79" s="68">
        <v>0</v>
      </c>
      <c r="J79" s="68">
        <v>0</v>
      </c>
      <c r="K79" s="68">
        <v>0</v>
      </c>
      <c r="L79" s="68">
        <v>0</v>
      </c>
      <c r="M79" s="134">
        <v>1</v>
      </c>
      <c r="N79" s="68">
        <v>-2</v>
      </c>
      <c r="O79" s="134">
        <v>-1</v>
      </c>
      <c r="P79" s="134">
        <v>0</v>
      </c>
      <c r="Q79" s="134">
        <f t="shared" si="18"/>
        <v>0</v>
      </c>
      <c r="R79" s="68">
        <v>0</v>
      </c>
      <c r="S79" s="134">
        <f t="shared" si="15"/>
        <v>0</v>
      </c>
      <c r="T79" s="68">
        <f t="shared" si="16"/>
        <v>0</v>
      </c>
    </row>
    <row r="80" spans="1:20" ht="19.5" customHeight="1">
      <c r="A80" s="68">
        <f t="shared" si="17"/>
        <v>2330</v>
      </c>
      <c r="B80" s="64"/>
      <c r="C80" s="64"/>
      <c r="D80" s="64" t="s">
        <v>90</v>
      </c>
      <c r="E80" s="68">
        <v>358</v>
      </c>
      <c r="F80" s="68">
        <v>42</v>
      </c>
      <c r="G80" s="68">
        <v>29</v>
      </c>
      <c r="H80" s="68">
        <v>340</v>
      </c>
      <c r="I80" s="68">
        <v>271</v>
      </c>
      <c r="J80" s="68">
        <v>1324</v>
      </c>
      <c r="K80" s="68">
        <v>183</v>
      </c>
      <c r="L80" s="68">
        <v>39</v>
      </c>
      <c r="M80" s="134">
        <v>3</v>
      </c>
      <c r="N80" s="68">
        <v>-345</v>
      </c>
      <c r="O80" s="134">
        <v>3</v>
      </c>
      <c r="P80" s="134">
        <v>83</v>
      </c>
      <c r="Q80" s="134">
        <f t="shared" si="18"/>
        <v>194.16666666666666</v>
      </c>
      <c r="R80" s="68">
        <v>3505</v>
      </c>
      <c r="S80" s="134">
        <f t="shared" si="15"/>
        <v>292.0833333333333</v>
      </c>
      <c r="T80" s="68">
        <f t="shared" si="16"/>
        <v>97.91666666666666</v>
      </c>
    </row>
    <row r="81" spans="1:20" ht="19.5" customHeight="1">
      <c r="A81" s="68">
        <f t="shared" si="17"/>
        <v>18</v>
      </c>
      <c r="B81" s="64"/>
      <c r="C81" s="64"/>
      <c r="D81" s="64" t="s">
        <v>133</v>
      </c>
      <c r="M81" s="134">
        <v>0</v>
      </c>
      <c r="N81" s="68">
        <v>0</v>
      </c>
      <c r="O81" s="134">
        <v>9</v>
      </c>
      <c r="P81" s="134">
        <v>9</v>
      </c>
      <c r="Q81" s="134">
        <f t="shared" si="18"/>
        <v>1.5</v>
      </c>
      <c r="R81" s="68">
        <v>0</v>
      </c>
      <c r="S81" s="134">
        <f t="shared" si="15"/>
        <v>0</v>
      </c>
      <c r="T81" s="68">
        <f t="shared" si="16"/>
        <v>-1.5</v>
      </c>
    </row>
    <row r="82" spans="1:20" ht="19.5" customHeight="1">
      <c r="A82" s="68">
        <f t="shared" si="17"/>
        <v>0</v>
      </c>
      <c r="B82" s="64"/>
      <c r="C82" s="64"/>
      <c r="D82" s="44" t="s">
        <v>95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134">
        <v>0</v>
      </c>
      <c r="N82" s="68">
        <v>0</v>
      </c>
      <c r="O82" s="134">
        <v>0</v>
      </c>
      <c r="P82" s="134">
        <v>0</v>
      </c>
      <c r="Q82" s="134">
        <f t="shared" si="18"/>
        <v>0</v>
      </c>
      <c r="R82" s="68">
        <f>13875-4487-3057-432</f>
        <v>5899</v>
      </c>
      <c r="S82" s="134">
        <f t="shared" si="15"/>
        <v>491.5833333333333</v>
      </c>
      <c r="T82" s="68">
        <f t="shared" si="16"/>
        <v>491.5833333333333</v>
      </c>
    </row>
    <row r="83" spans="1:20" s="77" customFormat="1" ht="19.5" customHeight="1">
      <c r="A83" s="112">
        <f>SUM(A73:A82)</f>
        <v>168844</v>
      </c>
      <c r="B83" s="62"/>
      <c r="C83" s="62"/>
      <c r="D83" s="62" t="s">
        <v>49</v>
      </c>
      <c r="E83" s="112">
        <f>SUM(E73:E82)</f>
        <v>13211</v>
      </c>
      <c r="F83" s="112">
        <f>SUM(F73:F82)</f>
        <v>12059</v>
      </c>
      <c r="G83" s="112">
        <f aca="true" t="shared" si="19" ref="G83:T83">SUM(G73:G82)</f>
        <v>11275</v>
      </c>
      <c r="H83" s="112">
        <f t="shared" si="19"/>
        <v>13259</v>
      </c>
      <c r="I83" s="112">
        <f t="shared" si="19"/>
        <v>12892</v>
      </c>
      <c r="J83" s="112">
        <f t="shared" si="19"/>
        <v>14593</v>
      </c>
      <c r="K83" s="112">
        <f t="shared" si="19"/>
        <v>13016</v>
      </c>
      <c r="L83" s="112">
        <f t="shared" si="19"/>
        <v>12318</v>
      </c>
      <c r="M83" s="135">
        <f t="shared" si="19"/>
        <v>11856</v>
      </c>
      <c r="N83" s="112">
        <f t="shared" si="19"/>
        <v>12001</v>
      </c>
      <c r="O83" s="135">
        <f t="shared" si="19"/>
        <v>24203</v>
      </c>
      <c r="P83" s="135">
        <f t="shared" si="19"/>
        <v>18161</v>
      </c>
      <c r="Q83" s="135">
        <f t="shared" si="19"/>
        <v>14070.333333333334</v>
      </c>
      <c r="R83" s="112">
        <f t="shared" si="19"/>
        <v>195722</v>
      </c>
      <c r="S83" s="135">
        <f t="shared" si="19"/>
        <v>16310.166666666668</v>
      </c>
      <c r="T83" s="112">
        <f t="shared" si="19"/>
        <v>2239.833333333333</v>
      </c>
    </row>
    <row r="84" spans="1:20" s="67" customFormat="1" ht="14.25" customHeight="1">
      <c r="A84" s="60"/>
      <c r="B84" s="58"/>
      <c r="C84" s="58"/>
      <c r="D84" s="57"/>
      <c r="E84" s="63"/>
      <c r="F84" s="63"/>
      <c r="G84" s="63"/>
      <c r="H84" s="63"/>
      <c r="I84" s="63"/>
      <c r="J84" s="63"/>
      <c r="K84" s="63"/>
      <c r="L84" s="63"/>
      <c r="M84" s="136"/>
      <c r="N84" s="63"/>
      <c r="O84" s="136"/>
      <c r="P84" s="136"/>
      <c r="Q84" s="136"/>
      <c r="R84" s="63"/>
      <c r="S84" s="136"/>
      <c r="T84" s="63"/>
    </row>
    <row r="85" spans="1:20" s="67" customFormat="1" ht="14.25" customHeight="1">
      <c r="A85" s="60"/>
      <c r="B85" s="58"/>
      <c r="C85" s="58"/>
      <c r="D85" s="57"/>
      <c r="E85" s="63"/>
      <c r="F85" s="63"/>
      <c r="G85" s="63"/>
      <c r="H85" s="63"/>
      <c r="I85" s="63"/>
      <c r="J85" s="63"/>
      <c r="K85" s="63"/>
      <c r="L85" s="63"/>
      <c r="M85" s="136"/>
      <c r="N85" s="63"/>
      <c r="O85" s="136"/>
      <c r="P85" s="136"/>
      <c r="Q85" s="136"/>
      <c r="R85" s="63"/>
      <c r="S85" s="136"/>
      <c r="T85" s="63"/>
    </row>
    <row r="86" spans="1:2" ht="19.5" customHeight="1">
      <c r="A86" s="68"/>
      <c r="B86" s="57" t="s">
        <v>114</v>
      </c>
    </row>
    <row r="87" spans="1:20" ht="19.5" customHeight="1">
      <c r="A87" s="68">
        <f>SUM(E87:P87)</f>
        <v>4</v>
      </c>
      <c r="B87" s="64"/>
      <c r="C87" s="64"/>
      <c r="D87" s="44" t="s">
        <v>32</v>
      </c>
      <c r="E87" s="68">
        <v>3</v>
      </c>
      <c r="F87" s="68">
        <v>0</v>
      </c>
      <c r="G87" s="68">
        <v>0</v>
      </c>
      <c r="H87" s="68">
        <v>1</v>
      </c>
      <c r="I87" s="68">
        <v>0</v>
      </c>
      <c r="J87" s="68">
        <v>0</v>
      </c>
      <c r="K87" s="68">
        <v>0</v>
      </c>
      <c r="L87" s="68">
        <v>0</v>
      </c>
      <c r="M87" s="134">
        <v>0</v>
      </c>
      <c r="N87" s="68">
        <v>0</v>
      </c>
      <c r="O87" s="134">
        <v>0</v>
      </c>
      <c r="P87" s="134">
        <v>0</v>
      </c>
      <c r="Q87" s="134">
        <f>+A87/12</f>
        <v>0.3333333333333333</v>
      </c>
      <c r="R87" s="68">
        <v>0</v>
      </c>
      <c r="S87" s="134">
        <v>0</v>
      </c>
      <c r="T87" s="68">
        <f>+S87-Q87</f>
        <v>-0.3333333333333333</v>
      </c>
    </row>
    <row r="88" spans="1:20" ht="19.5" customHeight="1">
      <c r="A88" s="68">
        <f>SUM(E88:P88)</f>
        <v>782757</v>
      </c>
      <c r="B88" s="64"/>
      <c r="C88" s="64"/>
      <c r="D88" s="44" t="s">
        <v>92</v>
      </c>
      <c r="E88" s="68">
        <v>2707</v>
      </c>
      <c r="F88" s="68">
        <v>59591</v>
      </c>
      <c r="G88" s="68">
        <v>1593</v>
      </c>
      <c r="H88" s="68">
        <v>119335</v>
      </c>
      <c r="I88" s="68">
        <v>57033</v>
      </c>
      <c r="J88" s="68">
        <v>66668</v>
      </c>
      <c r="K88" s="68">
        <v>62409</v>
      </c>
      <c r="L88" s="68">
        <v>72646</v>
      </c>
      <c r="M88" s="134">
        <v>115748</v>
      </c>
      <c r="N88" s="68">
        <v>69380</v>
      </c>
      <c r="O88" s="134">
        <f>78762+412</f>
        <v>79174</v>
      </c>
      <c r="P88" s="134">
        <v>76473</v>
      </c>
      <c r="Q88" s="134">
        <f>+A88/12</f>
        <v>65229.75</v>
      </c>
      <c r="R88" s="68">
        <v>948568</v>
      </c>
      <c r="S88" s="134">
        <f>+R88/12</f>
        <v>79047.33333333333</v>
      </c>
      <c r="T88" s="68">
        <f>+S88-Q88</f>
        <v>13817.583333333328</v>
      </c>
    </row>
    <row r="89" spans="1:20" ht="19.5" customHeight="1">
      <c r="A89" s="68">
        <f>SUM(E89:P89)</f>
        <v>144935</v>
      </c>
      <c r="B89" s="64"/>
      <c r="C89" s="64"/>
      <c r="D89" s="44" t="s">
        <v>139</v>
      </c>
      <c r="M89" s="134">
        <v>0</v>
      </c>
      <c r="N89" s="68">
        <v>0</v>
      </c>
      <c r="O89" s="134">
        <v>0</v>
      </c>
      <c r="P89" s="134">
        <v>144935</v>
      </c>
      <c r="Q89" s="134">
        <f>+A89/12</f>
        <v>12077.916666666666</v>
      </c>
      <c r="R89" s="68">
        <v>0</v>
      </c>
      <c r="S89" s="134">
        <f>+R89/12</f>
        <v>0</v>
      </c>
      <c r="T89" s="68">
        <f>+S89-Q89</f>
        <v>-12077.916666666666</v>
      </c>
    </row>
    <row r="90" spans="1:20" s="77" customFormat="1" ht="19.5" customHeight="1">
      <c r="A90" s="112">
        <f>SUM(A87:A89)</f>
        <v>927696</v>
      </c>
      <c r="B90" s="62"/>
      <c r="C90" s="62"/>
      <c r="D90" s="62" t="s">
        <v>50</v>
      </c>
      <c r="E90" s="112">
        <f>SUM(E87:E89)</f>
        <v>2710</v>
      </c>
      <c r="F90" s="112">
        <f>SUM(F87:F89)</f>
        <v>59591</v>
      </c>
      <c r="G90" s="112">
        <f aca="true" t="shared" si="20" ref="G90:T90">SUM(G87:G89)</f>
        <v>1593</v>
      </c>
      <c r="H90" s="112">
        <f t="shared" si="20"/>
        <v>119336</v>
      </c>
      <c r="I90" s="112">
        <f t="shared" si="20"/>
        <v>57033</v>
      </c>
      <c r="J90" s="112">
        <f t="shared" si="20"/>
        <v>66668</v>
      </c>
      <c r="K90" s="112">
        <f t="shared" si="20"/>
        <v>62409</v>
      </c>
      <c r="L90" s="112">
        <f t="shared" si="20"/>
        <v>72646</v>
      </c>
      <c r="M90" s="135">
        <f t="shared" si="20"/>
        <v>115748</v>
      </c>
      <c r="N90" s="112">
        <f t="shared" si="20"/>
        <v>69380</v>
      </c>
      <c r="O90" s="135">
        <f t="shared" si="20"/>
        <v>79174</v>
      </c>
      <c r="P90" s="135">
        <f t="shared" si="20"/>
        <v>221408</v>
      </c>
      <c r="Q90" s="135">
        <f t="shared" si="20"/>
        <v>77308</v>
      </c>
      <c r="R90" s="112">
        <f t="shared" si="20"/>
        <v>948568</v>
      </c>
      <c r="S90" s="135">
        <f t="shared" si="20"/>
        <v>79047.33333333333</v>
      </c>
      <c r="T90" s="112">
        <f t="shared" si="20"/>
        <v>1739.3333333333285</v>
      </c>
    </row>
    <row r="91" spans="1:20" s="67" customFormat="1" ht="13.5" customHeight="1">
      <c r="A91" s="60"/>
      <c r="B91" s="58"/>
      <c r="C91" s="58"/>
      <c r="D91" s="57"/>
      <c r="E91" s="63"/>
      <c r="F91" s="63"/>
      <c r="G91" s="63"/>
      <c r="H91" s="63"/>
      <c r="I91" s="63"/>
      <c r="J91" s="63"/>
      <c r="K91" s="63"/>
      <c r="L91" s="63"/>
      <c r="M91" s="136"/>
      <c r="N91" s="63"/>
      <c r="O91" s="136"/>
      <c r="P91" s="136"/>
      <c r="Q91" s="136"/>
      <c r="R91" s="63"/>
      <c r="S91" s="136"/>
      <c r="T91" s="63"/>
    </row>
    <row r="92" spans="1:20" s="67" customFormat="1" ht="13.5" customHeight="1">
      <c r="A92" s="60"/>
      <c r="B92" s="58"/>
      <c r="C92" s="58"/>
      <c r="D92" s="57"/>
      <c r="E92" s="63"/>
      <c r="F92" s="63"/>
      <c r="G92" s="63"/>
      <c r="H92" s="63"/>
      <c r="I92" s="63"/>
      <c r="J92" s="63"/>
      <c r="K92" s="63"/>
      <c r="L92" s="63"/>
      <c r="M92" s="136"/>
      <c r="N92" s="63"/>
      <c r="O92" s="136"/>
      <c r="P92" s="136"/>
      <c r="Q92" s="136"/>
      <c r="R92" s="63"/>
      <c r="S92" s="136"/>
      <c r="T92" s="63"/>
    </row>
    <row r="93" spans="1:20" s="67" customFormat="1" ht="13.5" customHeight="1">
      <c r="A93" s="60"/>
      <c r="B93" s="58"/>
      <c r="C93" s="58"/>
      <c r="D93" s="57"/>
      <c r="E93" s="63"/>
      <c r="F93" s="63"/>
      <c r="G93" s="63"/>
      <c r="H93" s="63"/>
      <c r="I93" s="63"/>
      <c r="J93" s="63"/>
      <c r="K93" s="63"/>
      <c r="L93" s="63"/>
      <c r="M93" s="136"/>
      <c r="N93" s="63"/>
      <c r="O93" s="136"/>
      <c r="P93" s="136"/>
      <c r="Q93" s="136"/>
      <c r="R93" s="63"/>
      <c r="S93" s="136"/>
      <c r="T93" s="63"/>
    </row>
    <row r="94" spans="1:2" ht="19.5" customHeight="1">
      <c r="A94" s="68"/>
      <c r="B94" s="57" t="s">
        <v>115</v>
      </c>
    </row>
    <row r="95" spans="1:20" s="65" customFormat="1" ht="15" customHeight="1">
      <c r="A95" s="25" t="s">
        <v>25</v>
      </c>
      <c r="B95" s="57"/>
      <c r="C95" s="58"/>
      <c r="D95" s="56"/>
      <c r="E95" s="69" t="s">
        <v>3</v>
      </c>
      <c r="F95" s="69" t="s">
        <v>3</v>
      </c>
      <c r="G95" s="69" t="s">
        <v>3</v>
      </c>
      <c r="H95" s="69" t="s">
        <v>3</v>
      </c>
      <c r="I95" s="69" t="s">
        <v>3</v>
      </c>
      <c r="J95" s="69" t="s">
        <v>3</v>
      </c>
      <c r="K95" s="69" t="s">
        <v>3</v>
      </c>
      <c r="L95" s="69" t="s">
        <v>3</v>
      </c>
      <c r="M95" s="130" t="s">
        <v>3</v>
      </c>
      <c r="N95" s="69" t="s">
        <v>3</v>
      </c>
      <c r="O95" s="130" t="s">
        <v>3</v>
      </c>
      <c r="P95" s="130" t="s">
        <v>3</v>
      </c>
      <c r="Q95" s="130" t="s">
        <v>39</v>
      </c>
      <c r="R95" s="69" t="s">
        <v>94</v>
      </c>
      <c r="S95" s="130" t="s">
        <v>37</v>
      </c>
      <c r="T95" s="69" t="s">
        <v>28</v>
      </c>
    </row>
    <row r="96" spans="1:20" s="65" customFormat="1" ht="15" customHeight="1">
      <c r="A96" s="25" t="s">
        <v>3</v>
      </c>
      <c r="B96" s="57"/>
      <c r="C96" s="58"/>
      <c r="E96" s="76" t="s">
        <v>76</v>
      </c>
      <c r="F96" s="76" t="s">
        <v>77</v>
      </c>
      <c r="G96" s="76" t="s">
        <v>78</v>
      </c>
      <c r="H96" s="76" t="s">
        <v>79</v>
      </c>
      <c r="I96" s="76" t="s">
        <v>80</v>
      </c>
      <c r="J96" s="76" t="s">
        <v>81</v>
      </c>
      <c r="K96" s="76" t="s">
        <v>82</v>
      </c>
      <c r="L96" s="76" t="s">
        <v>83</v>
      </c>
      <c r="M96" s="131" t="s">
        <v>84</v>
      </c>
      <c r="N96" s="76" t="s">
        <v>85</v>
      </c>
      <c r="O96" s="131" t="s">
        <v>86</v>
      </c>
      <c r="P96" s="131" t="s">
        <v>136</v>
      </c>
      <c r="Q96" s="130" t="s">
        <v>36</v>
      </c>
      <c r="R96" s="69" t="s">
        <v>27</v>
      </c>
      <c r="S96" s="130" t="s">
        <v>26</v>
      </c>
      <c r="T96" s="69"/>
    </row>
    <row r="97" spans="1:20" s="65" customFormat="1" ht="15" customHeight="1">
      <c r="A97" s="27"/>
      <c r="B97" s="57"/>
      <c r="C97" s="58"/>
      <c r="D97" s="56"/>
      <c r="E97" s="71"/>
      <c r="F97" s="71"/>
      <c r="G97" s="71"/>
      <c r="H97" s="71"/>
      <c r="I97" s="71"/>
      <c r="J97" s="71"/>
      <c r="K97" s="71"/>
      <c r="L97" s="71"/>
      <c r="M97" s="132"/>
      <c r="N97" s="71"/>
      <c r="O97" s="132"/>
      <c r="P97" s="132"/>
      <c r="Q97" s="130" t="s">
        <v>29</v>
      </c>
      <c r="R97" s="69"/>
      <c r="S97" s="130" t="s">
        <v>27</v>
      </c>
      <c r="T97" s="69"/>
    </row>
    <row r="98" spans="1:20" ht="19.5" customHeight="1">
      <c r="A98" s="68">
        <f>SUM(E98:P98)</f>
        <v>69964</v>
      </c>
      <c r="B98" s="64"/>
      <c r="C98" s="64"/>
      <c r="D98" s="44" t="s">
        <v>32</v>
      </c>
      <c r="E98" s="68">
        <v>-251</v>
      </c>
      <c r="F98" s="68">
        <v>441</v>
      </c>
      <c r="G98" s="68">
        <v>2903</v>
      </c>
      <c r="H98" s="68">
        <v>353</v>
      </c>
      <c r="I98" s="68">
        <v>786</v>
      </c>
      <c r="J98" s="68">
        <f>61644-57602</f>
        <v>4042</v>
      </c>
      <c r="K98" s="68">
        <v>219</v>
      </c>
      <c r="L98" s="68">
        <f>554-3</f>
        <v>551</v>
      </c>
      <c r="M98" s="134">
        <v>0</v>
      </c>
      <c r="N98" s="68">
        <v>60920</v>
      </c>
      <c r="O98" s="134">
        <v>0</v>
      </c>
      <c r="P98" s="134">
        <v>0</v>
      </c>
      <c r="Q98" s="134">
        <f>+A98/12</f>
        <v>5830.333333333333</v>
      </c>
      <c r="R98" s="68">
        <v>0</v>
      </c>
      <c r="S98" s="134">
        <f aca="true" t="shared" si="21" ref="S98:S116">+R98/12</f>
        <v>0</v>
      </c>
      <c r="T98" s="68">
        <f aca="true" t="shared" si="22" ref="T98:T116">+S98-Q98</f>
        <v>-5830.333333333333</v>
      </c>
    </row>
    <row r="99" spans="1:20" ht="19.5" customHeight="1">
      <c r="A99" s="68">
        <f aca="true" t="shared" si="23" ref="A99:A116">SUM(E99:P99)</f>
        <v>1</v>
      </c>
      <c r="B99" s="64"/>
      <c r="C99" s="64"/>
      <c r="D99" s="44" t="s">
        <v>88</v>
      </c>
      <c r="E99" s="68">
        <v>3</v>
      </c>
      <c r="F99" s="68">
        <v>-2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134">
        <v>0</v>
      </c>
      <c r="N99" s="68">
        <v>0</v>
      </c>
      <c r="O99" s="134">
        <v>0</v>
      </c>
      <c r="P99" s="134">
        <v>0</v>
      </c>
      <c r="Q99" s="134">
        <f aca="true" t="shared" si="24" ref="Q99:Q116">+A99/12</f>
        <v>0.08333333333333333</v>
      </c>
      <c r="R99" s="68">
        <v>0</v>
      </c>
      <c r="S99" s="134">
        <f t="shared" si="21"/>
        <v>0</v>
      </c>
      <c r="T99" s="68">
        <f t="shared" si="22"/>
        <v>-0.08333333333333333</v>
      </c>
    </row>
    <row r="100" spans="1:20" ht="19.5" customHeight="1">
      <c r="A100" s="68">
        <f t="shared" si="23"/>
        <v>0</v>
      </c>
      <c r="B100" s="64"/>
      <c r="C100" s="64"/>
      <c r="D100" s="44" t="s">
        <v>74</v>
      </c>
      <c r="E100" s="68">
        <v>0</v>
      </c>
      <c r="F100" s="68">
        <v>0</v>
      </c>
      <c r="G100" s="68">
        <v>59</v>
      </c>
      <c r="H100" s="68">
        <v>-36</v>
      </c>
      <c r="I100" s="68">
        <v>23</v>
      </c>
      <c r="J100" s="68">
        <v>23</v>
      </c>
      <c r="K100" s="68">
        <v>23</v>
      </c>
      <c r="L100" s="68">
        <v>23</v>
      </c>
      <c r="M100" s="134">
        <v>23</v>
      </c>
      <c r="N100" s="68">
        <v>23</v>
      </c>
      <c r="O100" s="134">
        <f>23-207</f>
        <v>-184</v>
      </c>
      <c r="P100" s="134">
        <v>23</v>
      </c>
      <c r="Q100" s="134">
        <f t="shared" si="24"/>
        <v>0</v>
      </c>
      <c r="R100" s="68">
        <v>0</v>
      </c>
      <c r="S100" s="134">
        <f t="shared" si="21"/>
        <v>0</v>
      </c>
      <c r="T100" s="68">
        <f t="shared" si="22"/>
        <v>0</v>
      </c>
    </row>
    <row r="101" spans="1:20" ht="19.5" customHeight="1">
      <c r="A101" s="68">
        <f t="shared" si="23"/>
        <v>2</v>
      </c>
      <c r="B101" s="64"/>
      <c r="C101" s="64"/>
      <c r="D101" s="44" t="s">
        <v>73</v>
      </c>
      <c r="E101" s="68">
        <v>0</v>
      </c>
      <c r="F101" s="68">
        <v>0</v>
      </c>
      <c r="G101" s="68">
        <v>0</v>
      </c>
      <c r="H101" s="68">
        <v>-3</v>
      </c>
      <c r="I101" s="68">
        <v>4</v>
      </c>
      <c r="J101" s="68">
        <v>1</v>
      </c>
      <c r="K101" s="68">
        <v>0</v>
      </c>
      <c r="L101" s="68">
        <v>0</v>
      </c>
      <c r="M101" s="134">
        <v>0</v>
      </c>
      <c r="N101" s="68">
        <v>0</v>
      </c>
      <c r="O101" s="134">
        <v>0</v>
      </c>
      <c r="P101" s="134">
        <v>0</v>
      </c>
      <c r="Q101" s="134">
        <f t="shared" si="24"/>
        <v>0.16666666666666666</v>
      </c>
      <c r="R101" s="68">
        <v>0</v>
      </c>
      <c r="S101" s="134">
        <v>0</v>
      </c>
      <c r="T101" s="68">
        <f t="shared" si="22"/>
        <v>-0.16666666666666666</v>
      </c>
    </row>
    <row r="102" spans="1:17" ht="19.5" customHeight="1">
      <c r="A102" s="68">
        <f t="shared" si="23"/>
        <v>3</v>
      </c>
      <c r="B102" s="64"/>
      <c r="C102" s="64"/>
      <c r="D102" s="44" t="s">
        <v>132</v>
      </c>
      <c r="L102" s="68">
        <v>0</v>
      </c>
      <c r="M102" s="134">
        <v>0</v>
      </c>
      <c r="N102" s="68">
        <v>0</v>
      </c>
      <c r="O102" s="134">
        <v>3</v>
      </c>
      <c r="P102" s="134">
        <v>0</v>
      </c>
      <c r="Q102" s="134">
        <f t="shared" si="24"/>
        <v>0.25</v>
      </c>
    </row>
    <row r="103" spans="1:20" ht="19.5" customHeight="1">
      <c r="A103" s="68">
        <f t="shared" si="23"/>
        <v>116364</v>
      </c>
      <c r="B103" s="64"/>
      <c r="C103" s="64"/>
      <c r="D103" s="64" t="s">
        <v>91</v>
      </c>
      <c r="E103" s="68">
        <v>9856</v>
      </c>
      <c r="F103" s="68">
        <v>-8389</v>
      </c>
      <c r="G103" s="68">
        <f>101+56+2536+822+557</f>
        <v>4072</v>
      </c>
      <c r="H103" s="68">
        <v>20125</v>
      </c>
      <c r="I103" s="68">
        <v>0</v>
      </c>
      <c r="J103" s="68">
        <v>0</v>
      </c>
      <c r="K103" s="68">
        <v>10194</v>
      </c>
      <c r="L103" s="68">
        <v>8433</v>
      </c>
      <c r="M103" s="134">
        <v>3410</v>
      </c>
      <c r="N103" s="68">
        <v>-1873</v>
      </c>
      <c r="O103" s="134">
        <f>1314+56060</f>
        <v>57374</v>
      </c>
      <c r="P103" s="134">
        <v>13162</v>
      </c>
      <c r="Q103" s="134">
        <f t="shared" si="24"/>
        <v>9697</v>
      </c>
      <c r="R103" s="68">
        <v>143000</v>
      </c>
      <c r="S103" s="134">
        <f t="shared" si="21"/>
        <v>11916.666666666666</v>
      </c>
      <c r="T103" s="68">
        <f t="shared" si="22"/>
        <v>2219.666666666666</v>
      </c>
    </row>
    <row r="104" spans="1:20" ht="19.5" customHeight="1">
      <c r="A104" s="68">
        <f t="shared" si="23"/>
        <v>216342</v>
      </c>
      <c r="B104" s="64"/>
      <c r="C104" s="64"/>
      <c r="D104" s="64" t="s">
        <v>54</v>
      </c>
      <c r="E104" s="68">
        <v>0</v>
      </c>
      <c r="F104" s="68">
        <v>0</v>
      </c>
      <c r="G104" s="68">
        <v>30495</v>
      </c>
      <c r="H104" s="68">
        <v>0</v>
      </c>
      <c r="I104" s="68">
        <v>0</v>
      </c>
      <c r="J104" s="68">
        <v>57602</v>
      </c>
      <c r="K104" s="68">
        <v>32233</v>
      </c>
      <c r="L104" s="68">
        <v>0</v>
      </c>
      <c r="M104" s="134">
        <v>0</v>
      </c>
      <c r="N104" s="68">
        <v>0</v>
      </c>
      <c r="O104" s="134">
        <f>8196-131</f>
        <v>8065</v>
      </c>
      <c r="P104" s="134">
        <v>87947</v>
      </c>
      <c r="Q104" s="134">
        <f t="shared" si="24"/>
        <v>18028.5</v>
      </c>
      <c r="R104" s="68">
        <v>0</v>
      </c>
      <c r="S104" s="134">
        <f t="shared" si="21"/>
        <v>0</v>
      </c>
      <c r="T104" s="68">
        <f>+S104-Q104</f>
        <v>-18028.5</v>
      </c>
    </row>
    <row r="105" spans="1:20" ht="19.5" customHeight="1">
      <c r="A105" s="68">
        <f t="shared" si="23"/>
        <v>63685</v>
      </c>
      <c r="B105" s="64"/>
      <c r="C105" s="64"/>
      <c r="D105" s="44" t="s">
        <v>53</v>
      </c>
      <c r="E105" s="68">
        <v>15921</v>
      </c>
      <c r="F105" s="68">
        <v>2</v>
      </c>
      <c r="G105" s="68">
        <v>15921</v>
      </c>
      <c r="H105" s="68">
        <v>0</v>
      </c>
      <c r="I105" s="68">
        <v>0</v>
      </c>
      <c r="J105" s="68">
        <v>0</v>
      </c>
      <c r="K105" s="68">
        <v>15921</v>
      </c>
      <c r="L105" s="68">
        <v>0</v>
      </c>
      <c r="M105" s="134">
        <v>0</v>
      </c>
      <c r="N105" s="68">
        <v>15920</v>
      </c>
      <c r="O105" s="134">
        <v>0</v>
      </c>
      <c r="P105" s="134">
        <v>0</v>
      </c>
      <c r="Q105" s="134">
        <f t="shared" si="24"/>
        <v>5307.083333333333</v>
      </c>
      <c r="R105" s="68">
        <v>63683</v>
      </c>
      <c r="S105" s="134">
        <f t="shared" si="21"/>
        <v>5306.916666666667</v>
      </c>
      <c r="T105" s="68">
        <f t="shared" si="22"/>
        <v>-0.16666666666606034</v>
      </c>
    </row>
    <row r="106" spans="1:20" ht="19.5" customHeight="1">
      <c r="A106" s="68">
        <f t="shared" si="23"/>
        <v>14921</v>
      </c>
      <c r="B106" s="64"/>
      <c r="C106" s="64"/>
      <c r="D106" s="44" t="s">
        <v>52</v>
      </c>
      <c r="E106" s="68">
        <v>1219</v>
      </c>
      <c r="F106" s="68">
        <v>1219</v>
      </c>
      <c r="G106" s="68">
        <v>2438</v>
      </c>
      <c r="H106" s="68">
        <v>0</v>
      </c>
      <c r="I106" s="68">
        <v>1219</v>
      </c>
      <c r="J106" s="68">
        <v>1219</v>
      </c>
      <c r="K106" s="68">
        <v>1219</v>
      </c>
      <c r="L106" s="68">
        <v>1220</v>
      </c>
      <c r="M106" s="134">
        <v>1220</v>
      </c>
      <c r="N106" s="68">
        <v>1316</v>
      </c>
      <c r="O106" s="134">
        <v>1316</v>
      </c>
      <c r="P106" s="134">
        <v>1316</v>
      </c>
      <c r="Q106" s="134">
        <f t="shared" si="24"/>
        <v>1243.4166666666667</v>
      </c>
      <c r="R106" s="68">
        <v>14922</v>
      </c>
      <c r="S106" s="134">
        <f t="shared" si="21"/>
        <v>1243.5</v>
      </c>
      <c r="T106" s="68">
        <f t="shared" si="22"/>
        <v>0.08333333333325754</v>
      </c>
    </row>
    <row r="107" spans="1:20" ht="19.5" customHeight="1">
      <c r="A107" s="68">
        <f t="shared" si="23"/>
        <v>27402</v>
      </c>
      <c r="B107" s="64"/>
      <c r="C107" s="64"/>
      <c r="D107" s="44" t="s">
        <v>40</v>
      </c>
      <c r="E107" s="68">
        <v>2247</v>
      </c>
      <c r="F107" s="68">
        <v>2247</v>
      </c>
      <c r="G107" s="68">
        <v>4494</v>
      </c>
      <c r="H107" s="68">
        <v>0</v>
      </c>
      <c r="I107" s="68">
        <v>2247</v>
      </c>
      <c r="J107" s="68">
        <v>2247</v>
      </c>
      <c r="K107" s="68">
        <v>2246</v>
      </c>
      <c r="L107" s="68">
        <v>2246</v>
      </c>
      <c r="M107" s="134">
        <v>2246</v>
      </c>
      <c r="N107" s="68">
        <v>2394</v>
      </c>
      <c r="O107" s="134">
        <v>2394</v>
      </c>
      <c r="P107" s="134">
        <v>2394</v>
      </c>
      <c r="Q107" s="134">
        <f t="shared" si="24"/>
        <v>2283.5</v>
      </c>
      <c r="R107" s="68">
        <v>27401</v>
      </c>
      <c r="S107" s="134">
        <f t="shared" si="21"/>
        <v>2283.4166666666665</v>
      </c>
      <c r="T107" s="68">
        <f t="shared" si="22"/>
        <v>-0.08333333333348492</v>
      </c>
    </row>
    <row r="108" spans="1:20" ht="19.5" customHeight="1">
      <c r="A108" s="68">
        <f t="shared" si="23"/>
        <v>341827</v>
      </c>
      <c r="B108" s="64"/>
      <c r="C108" s="64"/>
      <c r="D108" s="44" t="s">
        <v>45</v>
      </c>
      <c r="E108" s="68">
        <v>28486</v>
      </c>
      <c r="F108" s="68">
        <v>28486</v>
      </c>
      <c r="G108" s="68">
        <v>56972</v>
      </c>
      <c r="H108" s="68">
        <v>0</v>
      </c>
      <c r="I108" s="68">
        <v>28486</v>
      </c>
      <c r="J108" s="68">
        <v>28486</v>
      </c>
      <c r="K108" s="68">
        <v>28486</v>
      </c>
      <c r="L108" s="68">
        <v>28485</v>
      </c>
      <c r="M108" s="134">
        <v>28485</v>
      </c>
      <c r="N108" s="68">
        <v>28485</v>
      </c>
      <c r="O108" s="134">
        <v>28485</v>
      </c>
      <c r="P108" s="134">
        <v>28485</v>
      </c>
      <c r="Q108" s="134">
        <f t="shared" si="24"/>
        <v>28485.583333333332</v>
      </c>
      <c r="R108" s="68">
        <v>341827</v>
      </c>
      <c r="S108" s="134">
        <f t="shared" si="21"/>
        <v>28485.583333333332</v>
      </c>
      <c r="T108" s="68">
        <f t="shared" si="22"/>
        <v>0</v>
      </c>
    </row>
    <row r="109" spans="1:20" ht="19.5" customHeight="1">
      <c r="A109" s="68">
        <f t="shared" si="23"/>
        <v>310001</v>
      </c>
      <c r="B109" s="64"/>
      <c r="C109" s="64"/>
      <c r="D109" s="44" t="s">
        <v>41</v>
      </c>
      <c r="E109" s="68">
        <v>26000</v>
      </c>
      <c r="F109" s="68">
        <v>26000</v>
      </c>
      <c r="G109" s="68">
        <v>52000</v>
      </c>
      <c r="H109" s="68">
        <v>0</v>
      </c>
      <c r="I109" s="68">
        <v>26000</v>
      </c>
      <c r="J109" s="68">
        <v>26000</v>
      </c>
      <c r="K109" s="68">
        <v>26000</v>
      </c>
      <c r="L109" s="68">
        <v>26000</v>
      </c>
      <c r="M109" s="134">
        <v>26000</v>
      </c>
      <c r="N109" s="68">
        <v>26000</v>
      </c>
      <c r="O109" s="134">
        <v>26000</v>
      </c>
      <c r="P109" s="134">
        <v>24001</v>
      </c>
      <c r="Q109" s="134">
        <f t="shared" si="24"/>
        <v>25833.416666666668</v>
      </c>
      <c r="R109" s="68">
        <v>310001</v>
      </c>
      <c r="S109" s="134">
        <f t="shared" si="21"/>
        <v>25833.416666666668</v>
      </c>
      <c r="T109" s="68">
        <f t="shared" si="22"/>
        <v>0</v>
      </c>
    </row>
    <row r="110" spans="1:20" ht="19.5" customHeight="1">
      <c r="A110" s="68">
        <f t="shared" si="23"/>
        <v>22958</v>
      </c>
      <c r="B110" s="64"/>
      <c r="C110" s="64"/>
      <c r="D110" s="44" t="s">
        <v>42</v>
      </c>
      <c r="E110" s="68">
        <v>2529</v>
      </c>
      <c r="F110" s="68">
        <v>1710</v>
      </c>
      <c r="G110" s="68">
        <v>3420</v>
      </c>
      <c r="H110" s="68">
        <v>0</v>
      </c>
      <c r="I110" s="68">
        <v>2110</v>
      </c>
      <c r="J110" s="68">
        <v>2110</v>
      </c>
      <c r="K110" s="68">
        <v>1710</v>
      </c>
      <c r="L110" s="68">
        <v>1710</v>
      </c>
      <c r="M110" s="134">
        <v>2529</v>
      </c>
      <c r="N110" s="68">
        <v>1710</v>
      </c>
      <c r="O110" s="134">
        <v>1710</v>
      </c>
      <c r="P110" s="134">
        <v>1710</v>
      </c>
      <c r="Q110" s="134">
        <f t="shared" si="24"/>
        <v>1913.1666666666667</v>
      </c>
      <c r="R110" s="68">
        <v>22958</v>
      </c>
      <c r="S110" s="134">
        <f t="shared" si="21"/>
        <v>1913.1666666666667</v>
      </c>
      <c r="T110" s="68">
        <f t="shared" si="22"/>
        <v>0</v>
      </c>
    </row>
    <row r="111" spans="1:20" ht="19.5" customHeight="1">
      <c r="A111" s="68">
        <f t="shared" si="23"/>
        <v>35534</v>
      </c>
      <c r="B111" s="64"/>
      <c r="C111" s="64"/>
      <c r="D111" s="44" t="s">
        <v>46</v>
      </c>
      <c r="E111" s="68">
        <v>2427</v>
      </c>
      <c r="F111" s="68">
        <v>3165</v>
      </c>
      <c r="G111" s="68">
        <f>334+8+5500</f>
        <v>5842</v>
      </c>
      <c r="H111" s="68">
        <f>876-8</f>
        <v>868</v>
      </c>
      <c r="I111" s="68">
        <v>1861</v>
      </c>
      <c r="J111" s="68">
        <v>4338</v>
      </c>
      <c r="K111" s="68">
        <f>2655+35</f>
        <v>2690</v>
      </c>
      <c r="L111" s="68">
        <f>2750+391+1+5</f>
        <v>3147</v>
      </c>
      <c r="M111" s="134">
        <f>3385+389+1-444-1</f>
        <v>3330</v>
      </c>
      <c r="N111" s="68">
        <f>418+1-391-1+2750</f>
        <v>2777</v>
      </c>
      <c r="O111" s="134">
        <f>-455+3+2750+7</f>
        <v>2305</v>
      </c>
      <c r="P111" s="134">
        <f>38+10-5+2750-9</f>
        <v>2784</v>
      </c>
      <c r="Q111" s="134">
        <f t="shared" si="24"/>
        <v>2961.1666666666665</v>
      </c>
      <c r="R111" s="68">
        <v>35135</v>
      </c>
      <c r="S111" s="134">
        <f t="shared" si="21"/>
        <v>2927.9166666666665</v>
      </c>
      <c r="T111" s="68">
        <f t="shared" si="22"/>
        <v>-33.25</v>
      </c>
    </row>
    <row r="112" spans="1:20" ht="19.5" customHeight="1">
      <c r="A112" s="68">
        <f t="shared" si="23"/>
        <v>3893</v>
      </c>
      <c r="B112" s="64"/>
      <c r="C112" s="64"/>
      <c r="D112" s="44" t="s">
        <v>44</v>
      </c>
      <c r="E112" s="68">
        <v>271</v>
      </c>
      <c r="F112" s="68">
        <v>423</v>
      </c>
      <c r="G112" s="68">
        <f>199+78</f>
        <v>277</v>
      </c>
      <c r="H112" s="68">
        <f>170+16+4+214+2+27</f>
        <v>433</v>
      </c>
      <c r="I112" s="68">
        <v>282</v>
      </c>
      <c r="J112" s="68">
        <v>658</v>
      </c>
      <c r="K112" s="68">
        <f>205+204</f>
        <v>409</v>
      </c>
      <c r="L112" s="68">
        <f>44+184-1+149+4</f>
        <v>380</v>
      </c>
      <c r="M112" s="134">
        <f>9+355+15</f>
        <v>379</v>
      </c>
      <c r="N112" s="68">
        <f>53+22+8+41</f>
        <v>124</v>
      </c>
      <c r="O112" s="134">
        <f>34-19+3+3+42-406</f>
        <v>-343</v>
      </c>
      <c r="P112" s="134">
        <f>241+335+2+11+8+3</f>
        <v>600</v>
      </c>
      <c r="Q112" s="134">
        <f t="shared" si="24"/>
        <v>324.4166666666667</v>
      </c>
      <c r="R112" s="68">
        <v>0</v>
      </c>
      <c r="S112" s="134">
        <f>+R112/12</f>
        <v>0</v>
      </c>
      <c r="T112" s="68">
        <f>+S112-Q112</f>
        <v>-324.4166666666667</v>
      </c>
    </row>
    <row r="113" spans="1:20" ht="19.5" customHeight="1">
      <c r="A113" s="68">
        <f t="shared" si="23"/>
        <v>752</v>
      </c>
      <c r="B113" s="64"/>
      <c r="C113" s="64"/>
      <c r="D113" s="44" t="s">
        <v>43</v>
      </c>
      <c r="E113" s="68">
        <v>50</v>
      </c>
      <c r="F113" s="68">
        <v>188</v>
      </c>
      <c r="G113" s="68">
        <v>6</v>
      </c>
      <c r="H113" s="68">
        <v>0</v>
      </c>
      <c r="I113" s="68">
        <v>1</v>
      </c>
      <c r="J113" s="68">
        <v>37</v>
      </c>
      <c r="K113" s="68">
        <v>121</v>
      </c>
      <c r="L113" s="68">
        <f>68+39+15</f>
        <v>122</v>
      </c>
      <c r="M113" s="134">
        <f>34+32</f>
        <v>66</v>
      </c>
      <c r="N113" s="68">
        <v>2</v>
      </c>
      <c r="O113" s="134">
        <v>6</v>
      </c>
      <c r="P113" s="134">
        <f>131+3+19</f>
        <v>153</v>
      </c>
      <c r="Q113" s="134">
        <f t="shared" si="24"/>
        <v>62.666666666666664</v>
      </c>
      <c r="R113" s="68">
        <v>888</v>
      </c>
      <c r="S113" s="134">
        <f>+R113/12</f>
        <v>74</v>
      </c>
      <c r="T113" s="68">
        <f>+S113-Q113</f>
        <v>11.333333333333336</v>
      </c>
    </row>
    <row r="114" spans="1:20" ht="19.5" customHeight="1">
      <c r="A114" s="68">
        <f t="shared" si="23"/>
        <v>239</v>
      </c>
      <c r="B114" s="64"/>
      <c r="C114" s="64"/>
      <c r="D114" s="44" t="s">
        <v>51</v>
      </c>
      <c r="E114" s="68">
        <v>7</v>
      </c>
      <c r="F114" s="68">
        <v>5</v>
      </c>
      <c r="G114" s="68">
        <f>6+2</f>
        <v>8</v>
      </c>
      <c r="H114" s="68">
        <f>7+4-2</f>
        <v>9</v>
      </c>
      <c r="I114" s="68">
        <v>9</v>
      </c>
      <c r="J114" s="68">
        <v>17</v>
      </c>
      <c r="K114" s="68">
        <f>2+15</f>
        <v>17</v>
      </c>
      <c r="L114" s="68">
        <f>2+87</f>
        <v>89</v>
      </c>
      <c r="M114" s="134">
        <f>3+2+4+1+11</f>
        <v>21</v>
      </c>
      <c r="N114" s="68">
        <f>15+1+1</f>
        <v>17</v>
      </c>
      <c r="O114" s="134">
        <f>18+1+2</f>
        <v>21</v>
      </c>
      <c r="P114" s="134">
        <f>15+1+2+1</f>
        <v>19</v>
      </c>
      <c r="Q114" s="134">
        <f t="shared" si="24"/>
        <v>19.916666666666668</v>
      </c>
      <c r="R114" s="68">
        <v>271</v>
      </c>
      <c r="S114" s="134">
        <f>+R114/12</f>
        <v>22.583333333333332</v>
      </c>
      <c r="T114" s="68">
        <f>+S114-Q114</f>
        <v>2.6666666666666643</v>
      </c>
    </row>
    <row r="115" spans="1:20" ht="19.5" customHeight="1">
      <c r="A115" s="68">
        <f t="shared" si="23"/>
        <v>4</v>
      </c>
      <c r="B115" s="64"/>
      <c r="C115" s="64"/>
      <c r="D115" s="44" t="s">
        <v>59</v>
      </c>
      <c r="E115" s="68">
        <v>0</v>
      </c>
      <c r="F115" s="68">
        <v>0</v>
      </c>
      <c r="G115" s="68">
        <v>0</v>
      </c>
      <c r="H115" s="68">
        <v>-2</v>
      </c>
      <c r="I115" s="68">
        <v>2</v>
      </c>
      <c r="J115" s="68">
        <v>0</v>
      </c>
      <c r="K115" s="68">
        <v>0</v>
      </c>
      <c r="L115" s="68">
        <v>3</v>
      </c>
      <c r="M115" s="134">
        <v>0</v>
      </c>
      <c r="N115" s="68">
        <v>1</v>
      </c>
      <c r="O115" s="134">
        <v>0</v>
      </c>
      <c r="P115" s="134">
        <v>0</v>
      </c>
      <c r="Q115" s="134">
        <f t="shared" si="24"/>
        <v>0.3333333333333333</v>
      </c>
      <c r="R115" s="68">
        <v>0</v>
      </c>
      <c r="S115" s="134">
        <f t="shared" si="21"/>
        <v>0</v>
      </c>
      <c r="T115" s="68">
        <f>+S115-Q115</f>
        <v>-0.3333333333333333</v>
      </c>
    </row>
    <row r="116" spans="1:20" ht="19.5" customHeight="1">
      <c r="A116" s="68">
        <f t="shared" si="23"/>
        <v>0</v>
      </c>
      <c r="B116" s="64"/>
      <c r="C116" s="64"/>
      <c r="D116" s="44" t="s">
        <v>95</v>
      </c>
      <c r="E116" s="68">
        <v>0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134">
        <v>0</v>
      </c>
      <c r="N116" s="68">
        <v>0</v>
      </c>
      <c r="O116" s="134">
        <v>0</v>
      </c>
      <c r="P116" s="134">
        <v>0</v>
      </c>
      <c r="Q116" s="134">
        <f t="shared" si="24"/>
        <v>0</v>
      </c>
      <c r="R116" s="68">
        <v>0</v>
      </c>
      <c r="S116" s="134">
        <f t="shared" si="21"/>
        <v>0</v>
      </c>
      <c r="T116" s="68">
        <f t="shared" si="22"/>
        <v>0</v>
      </c>
    </row>
    <row r="117" spans="1:20" s="77" customFormat="1" ht="19.5" customHeight="1">
      <c r="A117" s="112">
        <f>SUM(A98:A116)</f>
        <v>1223892</v>
      </c>
      <c r="B117" s="62"/>
      <c r="C117" s="62"/>
      <c r="D117" s="62" t="s">
        <v>57</v>
      </c>
      <c r="E117" s="112">
        <f>SUM(E98:E116)</f>
        <v>88765</v>
      </c>
      <c r="F117" s="112">
        <f>SUM(F98:F116)</f>
        <v>55495</v>
      </c>
      <c r="G117" s="112">
        <f aca="true" t="shared" si="25" ref="G117:T117">SUM(G98:G116)</f>
        <v>178907</v>
      </c>
      <c r="H117" s="112">
        <f t="shared" si="25"/>
        <v>21747</v>
      </c>
      <c r="I117" s="112">
        <f t="shared" si="25"/>
        <v>63030</v>
      </c>
      <c r="J117" s="112">
        <f t="shared" si="25"/>
        <v>126780</v>
      </c>
      <c r="K117" s="112">
        <f t="shared" si="25"/>
        <v>121488</v>
      </c>
      <c r="L117" s="112">
        <f t="shared" si="25"/>
        <v>72409</v>
      </c>
      <c r="M117" s="135">
        <f t="shared" si="25"/>
        <v>67709</v>
      </c>
      <c r="N117" s="112">
        <f t="shared" si="25"/>
        <v>137816</v>
      </c>
      <c r="O117" s="135">
        <f t="shared" si="25"/>
        <v>127152</v>
      </c>
      <c r="P117" s="135">
        <f t="shared" si="25"/>
        <v>162594</v>
      </c>
      <c r="Q117" s="135">
        <f t="shared" si="25"/>
        <v>101991.00000000001</v>
      </c>
      <c r="R117" s="112">
        <f t="shared" si="25"/>
        <v>960086</v>
      </c>
      <c r="S117" s="135">
        <f t="shared" si="25"/>
        <v>80007.16666666667</v>
      </c>
      <c r="T117" s="112">
        <f t="shared" si="25"/>
        <v>-21983.583333333336</v>
      </c>
    </row>
    <row r="118" ht="12" customHeight="1">
      <c r="A118" s="68"/>
    </row>
    <row r="119" spans="1:20" s="67" customFormat="1" ht="19.5" customHeight="1" thickBot="1">
      <c r="A119" s="61">
        <f>+A17+A22+A46+A66+A83+A90+A117</f>
        <v>4349589</v>
      </c>
      <c r="D119" s="67" t="s">
        <v>55</v>
      </c>
      <c r="E119" s="61">
        <f aca="true" t="shared" si="26" ref="E119:S119">+E17+E22+E46+E66+E83+E90+E117</f>
        <v>279343</v>
      </c>
      <c r="F119" s="61">
        <f t="shared" si="26"/>
        <v>288575</v>
      </c>
      <c r="G119" s="61">
        <f t="shared" si="26"/>
        <v>340826</v>
      </c>
      <c r="H119" s="61">
        <f t="shared" si="26"/>
        <v>314846</v>
      </c>
      <c r="I119" s="61">
        <f t="shared" si="26"/>
        <v>284922</v>
      </c>
      <c r="J119" s="61">
        <f t="shared" si="26"/>
        <v>369522</v>
      </c>
      <c r="K119" s="61">
        <f t="shared" si="26"/>
        <v>334097</v>
      </c>
      <c r="L119" s="61">
        <f t="shared" si="26"/>
        <v>322741</v>
      </c>
      <c r="M119" s="137">
        <f t="shared" si="26"/>
        <v>377780</v>
      </c>
      <c r="N119" s="61">
        <f t="shared" si="26"/>
        <v>388742</v>
      </c>
      <c r="O119" s="137">
        <f t="shared" si="26"/>
        <v>407202</v>
      </c>
      <c r="P119" s="137">
        <f>+P17+P22+P46+P66+P83+P90+P117</f>
        <v>640993</v>
      </c>
      <c r="Q119" s="137">
        <f>+Q17+Q22+Q46+Q66+Q83+Q90+Q117</f>
        <v>362465.75</v>
      </c>
      <c r="R119" s="61">
        <f t="shared" si="26"/>
        <v>4251826</v>
      </c>
      <c r="S119" s="137">
        <f t="shared" si="26"/>
        <v>354318.8333333333</v>
      </c>
      <c r="T119" s="61">
        <f>+T17+T22+T46+T66+T83+T90+T117+2</f>
        <v>-8144.666666666679</v>
      </c>
    </row>
    <row r="120" spans="4:19" s="67" customFormat="1" ht="19.5" customHeight="1" thickTop="1">
      <c r="D120" s="63"/>
      <c r="E120" s="63"/>
      <c r="F120" s="63"/>
      <c r="G120" s="63"/>
      <c r="H120" s="63"/>
      <c r="I120" s="63"/>
      <c r="J120" s="63"/>
      <c r="K120" s="63"/>
      <c r="L120" s="63"/>
      <c r="M120" s="136"/>
      <c r="N120" s="63"/>
      <c r="O120" s="136"/>
      <c r="P120" s="136"/>
      <c r="Q120" s="136"/>
      <c r="R120" s="63"/>
      <c r="S120" s="136"/>
    </row>
    <row r="122" ht="12" customHeight="1">
      <c r="A122" s="68"/>
    </row>
    <row r="123" ht="12" customHeight="1">
      <c r="A123" s="68"/>
    </row>
    <row r="124" ht="12" customHeight="1">
      <c r="A124" s="68"/>
    </row>
    <row r="125" ht="12" customHeight="1">
      <c r="A125" s="68"/>
    </row>
    <row r="126" ht="12" customHeight="1">
      <c r="A126" s="68"/>
    </row>
    <row r="127" ht="12" customHeight="1">
      <c r="A127" s="68"/>
    </row>
    <row r="128" ht="12" customHeight="1">
      <c r="A128" s="68"/>
    </row>
    <row r="129" ht="12" customHeight="1">
      <c r="A129" s="68"/>
    </row>
    <row r="130" ht="12" customHeight="1">
      <c r="A130" s="68"/>
    </row>
    <row r="131" ht="12" customHeight="1">
      <c r="A131" s="68"/>
    </row>
    <row r="132" ht="12" customHeight="1">
      <c r="A132" s="68"/>
    </row>
    <row r="133" ht="12" customHeight="1">
      <c r="A133" s="68"/>
    </row>
    <row r="134" ht="12" customHeight="1">
      <c r="A134" s="68"/>
    </row>
    <row r="135" ht="12" customHeight="1">
      <c r="A135" s="68"/>
    </row>
    <row r="136" ht="12" customHeight="1">
      <c r="A136" s="68"/>
    </row>
    <row r="137" ht="12" customHeight="1">
      <c r="A137" s="68"/>
    </row>
    <row r="138" ht="12" customHeight="1">
      <c r="A138" s="68"/>
    </row>
    <row r="139" ht="12" customHeight="1">
      <c r="A139" s="68"/>
    </row>
    <row r="140" ht="12" customHeight="1">
      <c r="A140" s="68"/>
    </row>
    <row r="141" ht="12" customHeight="1">
      <c r="A141" s="68"/>
    </row>
    <row r="142" ht="12" customHeight="1">
      <c r="A142" s="68"/>
    </row>
    <row r="143" ht="12" customHeight="1">
      <c r="A143" s="68"/>
    </row>
    <row r="144" ht="12" customHeight="1">
      <c r="A144" s="68"/>
    </row>
    <row r="145" ht="12" customHeight="1">
      <c r="A145" s="68"/>
    </row>
    <row r="146" ht="12" customHeight="1">
      <c r="A146" s="68"/>
    </row>
    <row r="147" ht="12" customHeight="1">
      <c r="A147" s="68"/>
    </row>
    <row r="148" ht="12" customHeight="1">
      <c r="A148" s="68"/>
    </row>
    <row r="149" ht="12" customHeight="1">
      <c r="A149" s="68"/>
    </row>
    <row r="150" ht="12" customHeight="1">
      <c r="A150" s="68"/>
    </row>
    <row r="151" ht="12" customHeight="1">
      <c r="A151" s="68"/>
    </row>
    <row r="152" ht="12" customHeight="1">
      <c r="A152" s="68"/>
    </row>
    <row r="153" ht="12" customHeight="1">
      <c r="A153" s="68"/>
    </row>
    <row r="154" ht="12" customHeight="1">
      <c r="A154" s="68"/>
    </row>
    <row r="155" ht="12" customHeight="1">
      <c r="A155" s="68"/>
    </row>
    <row r="156" ht="12" customHeight="1">
      <c r="A156" s="68"/>
    </row>
    <row r="157" ht="12" customHeight="1">
      <c r="A157" s="68"/>
    </row>
    <row r="158" ht="12" customHeight="1">
      <c r="A158" s="68"/>
    </row>
    <row r="159" ht="12" customHeight="1">
      <c r="A159" s="68"/>
    </row>
    <row r="160" ht="12" customHeight="1">
      <c r="A160" s="68"/>
    </row>
    <row r="161" ht="12" customHeight="1">
      <c r="A161" s="68"/>
    </row>
    <row r="162" ht="12" customHeight="1">
      <c r="A162" s="68"/>
    </row>
    <row r="163" ht="12" customHeight="1">
      <c r="A163" s="68"/>
    </row>
    <row r="164" ht="12" customHeight="1">
      <c r="A164" s="68"/>
    </row>
    <row r="165" ht="12" customHeight="1">
      <c r="A165" s="68"/>
    </row>
    <row r="166" ht="12" customHeight="1">
      <c r="A166" s="68"/>
    </row>
    <row r="167" ht="12" customHeight="1">
      <c r="A167" s="68"/>
    </row>
    <row r="168" ht="12" customHeight="1">
      <c r="A168" s="68"/>
    </row>
    <row r="169" ht="12" customHeight="1">
      <c r="A169" s="68"/>
    </row>
    <row r="170" ht="12" customHeight="1">
      <c r="A170" s="68"/>
    </row>
    <row r="171" ht="12" customHeight="1">
      <c r="A171" s="68"/>
    </row>
    <row r="172" ht="12" customHeight="1">
      <c r="A172" s="68"/>
    </row>
    <row r="173" ht="12" customHeight="1">
      <c r="A173" s="68"/>
    </row>
    <row r="174" ht="12" customHeight="1">
      <c r="A174" s="68"/>
    </row>
    <row r="175" ht="12" customHeight="1">
      <c r="A175" s="68"/>
    </row>
    <row r="176" ht="12" customHeight="1">
      <c r="A176" s="68"/>
    </row>
    <row r="177" ht="12" customHeight="1">
      <c r="A177" s="68"/>
    </row>
    <row r="178" ht="12" customHeight="1">
      <c r="A178" s="68"/>
    </row>
    <row r="179" ht="12" customHeight="1">
      <c r="A179" s="68"/>
    </row>
    <row r="180" ht="12" customHeight="1">
      <c r="A180" s="68"/>
    </row>
    <row r="181" ht="12" customHeight="1">
      <c r="A181" s="68"/>
    </row>
    <row r="182" ht="12" customHeight="1">
      <c r="A182" s="68"/>
    </row>
    <row r="183" ht="12" customHeight="1">
      <c r="A183" s="68"/>
    </row>
    <row r="184" ht="12" customHeight="1">
      <c r="A184" s="68"/>
    </row>
    <row r="185" ht="12" customHeight="1">
      <c r="A185" s="68"/>
    </row>
    <row r="186" ht="12" customHeight="1">
      <c r="A186" s="68"/>
    </row>
    <row r="187" ht="12" customHeight="1">
      <c r="A187" s="68"/>
    </row>
    <row r="188" ht="12" customHeight="1">
      <c r="A188" s="68"/>
    </row>
    <row r="189" ht="12" customHeight="1">
      <c r="A189" s="68"/>
    </row>
    <row r="190" ht="12" customHeight="1">
      <c r="A190" s="68"/>
    </row>
    <row r="191" ht="12" customHeight="1">
      <c r="A191" s="68"/>
    </row>
    <row r="192" ht="12" customHeight="1">
      <c r="A192" s="68"/>
    </row>
    <row r="193" ht="12" customHeight="1">
      <c r="A193" s="68"/>
    </row>
    <row r="194" ht="12" customHeight="1">
      <c r="A194" s="68"/>
    </row>
    <row r="195" ht="12" customHeight="1">
      <c r="A195" s="68"/>
    </row>
    <row r="196" ht="12" customHeight="1">
      <c r="A196" s="68"/>
    </row>
    <row r="197" ht="12" customHeight="1">
      <c r="A197" s="68"/>
    </row>
    <row r="198" ht="12" customHeight="1">
      <c r="A198" s="68"/>
    </row>
    <row r="199" ht="12" customHeight="1">
      <c r="A199" s="68"/>
    </row>
    <row r="200" ht="12" customHeight="1">
      <c r="A200" s="68"/>
    </row>
    <row r="201" ht="12" customHeight="1">
      <c r="A201" s="68"/>
    </row>
    <row r="202" ht="12" customHeight="1">
      <c r="A202" s="68"/>
    </row>
    <row r="203" ht="12" customHeight="1">
      <c r="A203" s="68"/>
    </row>
    <row r="204" ht="12" customHeight="1">
      <c r="A204" s="68"/>
    </row>
    <row r="205" ht="12" customHeight="1">
      <c r="A205" s="68"/>
    </row>
    <row r="206" ht="12" customHeight="1">
      <c r="A206" s="68"/>
    </row>
    <row r="207" ht="12" customHeight="1">
      <c r="A207" s="68"/>
    </row>
    <row r="208" ht="12" customHeight="1">
      <c r="A208" s="68"/>
    </row>
    <row r="209" ht="12" customHeight="1">
      <c r="A209" s="68"/>
    </row>
    <row r="210" ht="12" customHeight="1">
      <c r="A210" s="68"/>
    </row>
    <row r="211" ht="12" customHeight="1">
      <c r="A211" s="68"/>
    </row>
    <row r="212" ht="12" customHeight="1">
      <c r="A212" s="68"/>
    </row>
    <row r="213" ht="12" customHeight="1">
      <c r="A213" s="68"/>
    </row>
    <row r="214" ht="12" customHeight="1">
      <c r="A214" s="68"/>
    </row>
    <row r="215" ht="12" customHeight="1">
      <c r="A215" s="68"/>
    </row>
    <row r="216" ht="12" customHeight="1">
      <c r="A216" s="68"/>
    </row>
    <row r="217" ht="12" customHeight="1">
      <c r="A217" s="68"/>
    </row>
    <row r="218" ht="12" customHeight="1">
      <c r="A218" s="68"/>
    </row>
    <row r="219" ht="12" customHeight="1">
      <c r="A219" s="68"/>
    </row>
    <row r="220" ht="12" customHeight="1">
      <c r="A220" s="68"/>
    </row>
    <row r="221" ht="12" customHeight="1">
      <c r="A221" s="68"/>
    </row>
    <row r="222" ht="12" customHeight="1">
      <c r="A222" s="68"/>
    </row>
    <row r="223" ht="12" customHeight="1">
      <c r="A223" s="68"/>
    </row>
    <row r="224" ht="12" customHeight="1">
      <c r="A224" s="68"/>
    </row>
    <row r="225" ht="12" customHeight="1">
      <c r="A225" s="68"/>
    </row>
    <row r="226" ht="12" customHeight="1">
      <c r="A226" s="68"/>
    </row>
    <row r="227" ht="12" customHeight="1">
      <c r="A227" s="68"/>
    </row>
    <row r="228" ht="12" customHeight="1">
      <c r="A228" s="68"/>
    </row>
    <row r="229" ht="12" customHeight="1">
      <c r="A229" s="68"/>
    </row>
    <row r="230" ht="12" customHeight="1">
      <c r="A230" s="68"/>
    </row>
    <row r="231" ht="12" customHeight="1">
      <c r="A231" s="68"/>
    </row>
    <row r="232" ht="12" customHeight="1">
      <c r="A232" s="68"/>
    </row>
    <row r="233" ht="12" customHeight="1">
      <c r="A233" s="68"/>
    </row>
    <row r="234" ht="12" customHeight="1">
      <c r="A234" s="68"/>
    </row>
    <row r="235" ht="12" customHeight="1">
      <c r="A235" s="68"/>
    </row>
    <row r="236" ht="12" customHeight="1">
      <c r="A236" s="68"/>
    </row>
    <row r="237" ht="12" customHeight="1">
      <c r="A237" s="68"/>
    </row>
    <row r="238" ht="12" customHeight="1">
      <c r="A238" s="68"/>
    </row>
    <row r="239" ht="12" customHeight="1">
      <c r="A239" s="68"/>
    </row>
    <row r="240" ht="12" customHeight="1">
      <c r="A240" s="68"/>
    </row>
    <row r="241" ht="12" customHeight="1">
      <c r="A241" s="68"/>
    </row>
    <row r="242" ht="12" customHeight="1">
      <c r="A242" s="68"/>
    </row>
    <row r="243" ht="12" customHeight="1">
      <c r="A243" s="68"/>
    </row>
    <row r="244" ht="12" customHeight="1">
      <c r="A244" s="68"/>
    </row>
    <row r="245" ht="12" customHeight="1">
      <c r="A245" s="68"/>
    </row>
    <row r="246" ht="12" customHeight="1">
      <c r="A246" s="68"/>
    </row>
    <row r="247" ht="12" customHeight="1">
      <c r="A247" s="68"/>
    </row>
    <row r="248" ht="12" customHeight="1">
      <c r="A248" s="68"/>
    </row>
    <row r="249" ht="12" customHeight="1">
      <c r="A249" s="68"/>
    </row>
    <row r="250" ht="12" customHeight="1">
      <c r="A250" s="68"/>
    </row>
    <row r="251" ht="12" customHeight="1">
      <c r="A251" s="68"/>
    </row>
    <row r="252" ht="12" customHeight="1">
      <c r="A252" s="68"/>
    </row>
    <row r="253" ht="12" customHeight="1">
      <c r="A253" s="68"/>
    </row>
    <row r="254" ht="12" customHeight="1">
      <c r="A254" s="68"/>
    </row>
    <row r="255" ht="12" customHeight="1">
      <c r="A255" s="68"/>
    </row>
    <row r="256" ht="12" customHeight="1">
      <c r="A256" s="68"/>
    </row>
    <row r="257" ht="12" customHeight="1">
      <c r="A257" s="68"/>
    </row>
    <row r="258" ht="12" customHeight="1">
      <c r="A258" s="68"/>
    </row>
    <row r="259" ht="12" customHeight="1">
      <c r="A259" s="68"/>
    </row>
    <row r="260" ht="12" customHeight="1">
      <c r="A260" s="68"/>
    </row>
    <row r="261" ht="12" customHeight="1">
      <c r="A261" s="68"/>
    </row>
    <row r="262" ht="12" customHeight="1">
      <c r="A262" s="68"/>
    </row>
    <row r="263" ht="12" customHeight="1">
      <c r="A263" s="68"/>
    </row>
    <row r="264" ht="12" customHeight="1">
      <c r="A264" s="68"/>
    </row>
    <row r="265" ht="12" customHeight="1">
      <c r="A265" s="68"/>
    </row>
    <row r="266" ht="12" customHeight="1">
      <c r="A266" s="68"/>
    </row>
    <row r="267" ht="12" customHeight="1">
      <c r="A267" s="68"/>
    </row>
    <row r="268" ht="12" customHeight="1">
      <c r="A268" s="68"/>
    </row>
    <row r="269" ht="12" customHeight="1">
      <c r="A269" s="68"/>
    </row>
    <row r="270" ht="12" customHeight="1">
      <c r="A270" s="68"/>
    </row>
    <row r="271" ht="12" customHeight="1">
      <c r="A271" s="68"/>
    </row>
    <row r="272" ht="12" customHeight="1">
      <c r="A272" s="68"/>
    </row>
    <row r="273" ht="12" customHeight="1">
      <c r="A273" s="68"/>
    </row>
    <row r="274" ht="12" customHeight="1">
      <c r="A274" s="68"/>
    </row>
    <row r="275" ht="12" customHeight="1">
      <c r="A275" s="68"/>
    </row>
    <row r="276" ht="12" customHeight="1">
      <c r="A276" s="68"/>
    </row>
    <row r="277" ht="12" customHeight="1">
      <c r="A277" s="68"/>
    </row>
    <row r="278" ht="12" customHeight="1">
      <c r="A278" s="68"/>
    </row>
    <row r="279" ht="12" customHeight="1">
      <c r="A279" s="68"/>
    </row>
    <row r="280" ht="12" customHeight="1">
      <c r="A280" s="68"/>
    </row>
    <row r="281" ht="12" customHeight="1">
      <c r="A281" s="68"/>
    </row>
    <row r="282" ht="12" customHeight="1">
      <c r="A282" s="68"/>
    </row>
    <row r="283" ht="12" customHeight="1">
      <c r="A283" s="68"/>
    </row>
    <row r="284" ht="12" customHeight="1">
      <c r="A284" s="68"/>
    </row>
    <row r="285" ht="12" customHeight="1">
      <c r="A285" s="68"/>
    </row>
    <row r="286" ht="12" customHeight="1">
      <c r="A286" s="68"/>
    </row>
    <row r="287" ht="12" customHeight="1">
      <c r="A287" s="68"/>
    </row>
    <row r="288" ht="12" customHeight="1">
      <c r="A288" s="68"/>
    </row>
    <row r="289" ht="12" customHeight="1">
      <c r="A289" s="68"/>
    </row>
    <row r="290" ht="12" customHeight="1">
      <c r="A290" s="68"/>
    </row>
    <row r="291" ht="12" customHeight="1">
      <c r="A291" s="68"/>
    </row>
    <row r="292" ht="12" customHeight="1">
      <c r="A292" s="68"/>
    </row>
    <row r="293" ht="12" customHeight="1">
      <c r="A293" s="68"/>
    </row>
    <row r="294" ht="12" customHeight="1">
      <c r="A294" s="68"/>
    </row>
    <row r="295" ht="12" customHeight="1">
      <c r="A295" s="68"/>
    </row>
    <row r="296" ht="12" customHeight="1">
      <c r="A296" s="68"/>
    </row>
    <row r="297" ht="12" customHeight="1">
      <c r="A297" s="68"/>
    </row>
    <row r="298" ht="12" customHeight="1">
      <c r="A298" s="68"/>
    </row>
    <row r="299" ht="12" customHeight="1">
      <c r="A299" s="68"/>
    </row>
    <row r="300" ht="12" customHeight="1">
      <c r="A300" s="68"/>
    </row>
    <row r="301" ht="12" customHeight="1">
      <c r="A301" s="68"/>
    </row>
    <row r="302" ht="12" customHeight="1">
      <c r="A302" s="68"/>
    </row>
    <row r="303" ht="12" customHeight="1">
      <c r="A303" s="68"/>
    </row>
    <row r="304" ht="12" customHeight="1">
      <c r="A304" s="68"/>
    </row>
    <row r="305" ht="12" customHeight="1">
      <c r="A305" s="68"/>
    </row>
    <row r="306" ht="12" customHeight="1">
      <c r="A306" s="68"/>
    </row>
    <row r="307" ht="12" customHeight="1">
      <c r="A307" s="68"/>
    </row>
    <row r="308" ht="12" customHeight="1">
      <c r="A308" s="68"/>
    </row>
    <row r="309" ht="12" customHeight="1">
      <c r="A309" s="68"/>
    </row>
    <row r="310" ht="12" customHeight="1">
      <c r="A310" s="68"/>
    </row>
    <row r="311" ht="12" customHeight="1">
      <c r="A311" s="68"/>
    </row>
    <row r="312" ht="12" customHeight="1">
      <c r="A312" s="68"/>
    </row>
    <row r="313" ht="12" customHeight="1">
      <c r="A313" s="68"/>
    </row>
    <row r="314" ht="12" customHeight="1">
      <c r="A314" s="68"/>
    </row>
    <row r="315" ht="12" customHeight="1">
      <c r="A315" s="68"/>
    </row>
    <row r="316" ht="12" customHeight="1">
      <c r="A316" s="68"/>
    </row>
    <row r="317" ht="12" customHeight="1">
      <c r="A317" s="68"/>
    </row>
    <row r="318" ht="12" customHeight="1">
      <c r="A318" s="68"/>
    </row>
    <row r="319" ht="12" customHeight="1">
      <c r="A319" s="68"/>
    </row>
    <row r="320" ht="12" customHeight="1">
      <c r="A320" s="68"/>
    </row>
    <row r="321" ht="12" customHeight="1">
      <c r="A321" s="68"/>
    </row>
    <row r="322" ht="12" customHeight="1">
      <c r="A322" s="68"/>
    </row>
    <row r="323" ht="12" customHeight="1">
      <c r="A323" s="68"/>
    </row>
    <row r="324" ht="12" customHeight="1">
      <c r="A324" s="68"/>
    </row>
    <row r="325" ht="12" customHeight="1">
      <c r="A325" s="68"/>
    </row>
    <row r="326" ht="12" customHeight="1">
      <c r="A326" s="68"/>
    </row>
    <row r="327" ht="12" customHeight="1">
      <c r="A327" s="68"/>
    </row>
    <row r="328" ht="12" customHeight="1">
      <c r="A328" s="68"/>
    </row>
    <row r="329" ht="12" customHeight="1">
      <c r="A329" s="68"/>
    </row>
    <row r="330" ht="12" customHeight="1">
      <c r="A330" s="68"/>
    </row>
    <row r="331" ht="12" customHeight="1">
      <c r="A331" s="68"/>
    </row>
    <row r="332" ht="12" customHeight="1">
      <c r="A332" s="68"/>
    </row>
    <row r="333" ht="12" customHeight="1">
      <c r="A333" s="68"/>
    </row>
    <row r="334" ht="12" customHeight="1">
      <c r="A334" s="68"/>
    </row>
    <row r="335" ht="12" customHeight="1">
      <c r="A335" s="68"/>
    </row>
    <row r="336" ht="12" customHeight="1">
      <c r="A336" s="68"/>
    </row>
    <row r="337" ht="12" customHeight="1">
      <c r="A337" s="68"/>
    </row>
    <row r="338" ht="12" customHeight="1">
      <c r="A338" s="68"/>
    </row>
    <row r="339" ht="12" customHeight="1">
      <c r="A339" s="68"/>
    </row>
    <row r="340" ht="12" customHeight="1">
      <c r="A340" s="68"/>
    </row>
    <row r="341" ht="12" customHeight="1">
      <c r="A341" s="68"/>
    </row>
    <row r="342" ht="12" customHeight="1">
      <c r="A342" s="68"/>
    </row>
    <row r="343" ht="12" customHeight="1">
      <c r="A343" s="68"/>
    </row>
    <row r="344" ht="12" customHeight="1">
      <c r="A344" s="68"/>
    </row>
    <row r="345" ht="12" customHeight="1">
      <c r="A345" s="68"/>
    </row>
    <row r="346" ht="12" customHeight="1">
      <c r="A346" s="68"/>
    </row>
    <row r="347" ht="12" customHeight="1">
      <c r="A347" s="68"/>
    </row>
    <row r="348" ht="12" customHeight="1">
      <c r="A348" s="68"/>
    </row>
    <row r="349" ht="12" customHeight="1">
      <c r="A349" s="68"/>
    </row>
    <row r="350" ht="12" customHeight="1">
      <c r="A350" s="68"/>
    </row>
    <row r="351" ht="12" customHeight="1">
      <c r="A351" s="68"/>
    </row>
    <row r="352" ht="12" customHeight="1">
      <c r="A352" s="68"/>
    </row>
    <row r="353" ht="12" customHeight="1">
      <c r="A353" s="68"/>
    </row>
    <row r="354" ht="12" customHeight="1">
      <c r="A354" s="68"/>
    </row>
    <row r="355" ht="12" customHeight="1">
      <c r="A355" s="68"/>
    </row>
    <row r="356" ht="12" customHeight="1">
      <c r="A356" s="68"/>
    </row>
    <row r="357" ht="12" customHeight="1">
      <c r="A357" s="68"/>
    </row>
    <row r="358" ht="12" customHeight="1">
      <c r="A358" s="68"/>
    </row>
    <row r="359" ht="12" customHeight="1">
      <c r="A359" s="68"/>
    </row>
    <row r="360" ht="12" customHeight="1">
      <c r="A360" s="68"/>
    </row>
    <row r="361" ht="12" customHeight="1">
      <c r="A361" s="68"/>
    </row>
    <row r="362" ht="12" customHeight="1">
      <c r="A362" s="68"/>
    </row>
    <row r="363" ht="12" customHeight="1">
      <c r="A363" s="68"/>
    </row>
    <row r="364" ht="12" customHeight="1">
      <c r="A364" s="68"/>
    </row>
    <row r="365" ht="12" customHeight="1">
      <c r="A365" s="68"/>
    </row>
    <row r="366" ht="12" customHeight="1">
      <c r="A366" s="68"/>
    </row>
    <row r="367" ht="12" customHeight="1">
      <c r="A367" s="68"/>
    </row>
    <row r="368" ht="12" customHeight="1">
      <c r="A368" s="68"/>
    </row>
    <row r="369" ht="12" customHeight="1">
      <c r="A369" s="68"/>
    </row>
    <row r="370" ht="12" customHeight="1">
      <c r="A370" s="68"/>
    </row>
    <row r="371" ht="12" customHeight="1">
      <c r="A371" s="68"/>
    </row>
    <row r="372" ht="12" customHeight="1">
      <c r="A372" s="68"/>
    </row>
    <row r="373" ht="12" customHeight="1">
      <c r="A373" s="68"/>
    </row>
    <row r="374" ht="12" customHeight="1">
      <c r="A374" s="68"/>
    </row>
    <row r="375" ht="12" customHeight="1">
      <c r="A375" s="68"/>
    </row>
    <row r="376" ht="12" customHeight="1">
      <c r="A376" s="68"/>
    </row>
    <row r="377" ht="12" customHeight="1">
      <c r="A377" s="68"/>
    </row>
    <row r="378" ht="12" customHeight="1">
      <c r="A378" s="68"/>
    </row>
    <row r="379" ht="12" customHeight="1">
      <c r="A379" s="68"/>
    </row>
    <row r="380" ht="12" customHeight="1">
      <c r="A380" s="68"/>
    </row>
    <row r="381" ht="12" customHeight="1">
      <c r="A381" s="68"/>
    </row>
    <row r="382" ht="12" customHeight="1">
      <c r="A382" s="68"/>
    </row>
    <row r="383" ht="12" customHeight="1">
      <c r="A383" s="68"/>
    </row>
    <row r="384" ht="12" customHeight="1">
      <c r="A384" s="68"/>
    </row>
    <row r="385" ht="12" customHeight="1">
      <c r="A385" s="68"/>
    </row>
    <row r="386" ht="12" customHeight="1">
      <c r="A386" s="68"/>
    </row>
    <row r="387" ht="12" customHeight="1">
      <c r="A387" s="68"/>
    </row>
    <row r="388" ht="12" customHeight="1">
      <c r="A388" s="68"/>
    </row>
    <row r="389" ht="12" customHeight="1">
      <c r="A389" s="68"/>
    </row>
    <row r="390" ht="12" customHeight="1">
      <c r="A390" s="68"/>
    </row>
    <row r="391" ht="12" customHeight="1">
      <c r="A391" s="68"/>
    </row>
    <row r="392" ht="12" customHeight="1">
      <c r="A392" s="68"/>
    </row>
    <row r="393" ht="12" customHeight="1">
      <c r="A393" s="68"/>
    </row>
    <row r="394" ht="12" customHeight="1">
      <c r="A394" s="68"/>
    </row>
    <row r="395" ht="12" customHeight="1">
      <c r="A395" s="68"/>
    </row>
    <row r="396" ht="12" customHeight="1">
      <c r="A396" s="68"/>
    </row>
    <row r="397" ht="12" customHeight="1">
      <c r="A397" s="68"/>
    </row>
    <row r="398" ht="12" customHeight="1">
      <c r="A398" s="68"/>
    </row>
    <row r="399" ht="12" customHeight="1">
      <c r="A399" s="68"/>
    </row>
    <row r="400" ht="12" customHeight="1">
      <c r="A400" s="68"/>
    </row>
    <row r="401" ht="12" customHeight="1">
      <c r="A401" s="68"/>
    </row>
    <row r="402" ht="12" customHeight="1">
      <c r="A402" s="68"/>
    </row>
    <row r="403" ht="12" customHeight="1">
      <c r="A403" s="68"/>
    </row>
    <row r="404" ht="12" customHeight="1">
      <c r="A404" s="68"/>
    </row>
    <row r="405" ht="12" customHeight="1">
      <c r="A405" s="68"/>
    </row>
    <row r="406" ht="12" customHeight="1">
      <c r="A406" s="68"/>
    </row>
    <row r="407" ht="12" customHeight="1">
      <c r="A407" s="68"/>
    </row>
    <row r="408" ht="12" customHeight="1">
      <c r="A408" s="68"/>
    </row>
    <row r="409" ht="12" customHeight="1">
      <c r="A409" s="68"/>
    </row>
    <row r="410" ht="12" customHeight="1">
      <c r="A410" s="68"/>
    </row>
    <row r="411" ht="12" customHeight="1">
      <c r="A411" s="68"/>
    </row>
    <row r="412" ht="12" customHeight="1">
      <c r="A412" s="68"/>
    </row>
    <row r="413" ht="12" customHeight="1">
      <c r="A413" s="68"/>
    </row>
    <row r="414" ht="12" customHeight="1">
      <c r="A414" s="68"/>
    </row>
    <row r="415" ht="12" customHeight="1">
      <c r="A415" s="68"/>
    </row>
    <row r="416" ht="12" customHeight="1">
      <c r="A416" s="68"/>
    </row>
    <row r="417" ht="12" customHeight="1">
      <c r="A417" s="68"/>
    </row>
    <row r="418" ht="12" customHeight="1">
      <c r="A418" s="68"/>
    </row>
    <row r="419" ht="12" customHeight="1">
      <c r="A419" s="68"/>
    </row>
    <row r="420" ht="12" customHeight="1">
      <c r="A420" s="68"/>
    </row>
    <row r="421" ht="12" customHeight="1">
      <c r="A421" s="68"/>
    </row>
    <row r="422" ht="12" customHeight="1">
      <c r="A422" s="68"/>
    </row>
    <row r="423" ht="12" customHeight="1">
      <c r="A423" s="68"/>
    </row>
    <row r="424" ht="12" customHeight="1">
      <c r="A424" s="68"/>
    </row>
    <row r="425" ht="12" customHeight="1">
      <c r="A425" s="68"/>
    </row>
    <row r="426" ht="12" customHeight="1">
      <c r="A426" s="68"/>
    </row>
    <row r="427" ht="12" customHeight="1">
      <c r="A427" s="68"/>
    </row>
    <row r="428" ht="12" customHeight="1">
      <c r="A428" s="68"/>
    </row>
    <row r="429" ht="12" customHeight="1">
      <c r="A429" s="68"/>
    </row>
    <row r="430" ht="12" customHeight="1">
      <c r="A430" s="68"/>
    </row>
    <row r="431" ht="12" customHeight="1">
      <c r="A431" s="68"/>
    </row>
    <row r="432" ht="12" customHeight="1">
      <c r="A432" s="68"/>
    </row>
    <row r="433" ht="12" customHeight="1">
      <c r="A433" s="68"/>
    </row>
    <row r="434" ht="12" customHeight="1">
      <c r="A434" s="68"/>
    </row>
    <row r="435" ht="12" customHeight="1">
      <c r="A435" s="68"/>
    </row>
    <row r="436" ht="12" customHeight="1">
      <c r="A436" s="68"/>
    </row>
    <row r="437" ht="12" customHeight="1">
      <c r="A437" s="68"/>
    </row>
    <row r="438" ht="12" customHeight="1">
      <c r="A438" s="68"/>
    </row>
    <row r="439" ht="12" customHeight="1">
      <c r="A439" s="68"/>
    </row>
    <row r="440" ht="12" customHeight="1">
      <c r="A440" s="68"/>
    </row>
    <row r="441" ht="12" customHeight="1">
      <c r="A441" s="68"/>
    </row>
    <row r="442" ht="12" customHeight="1">
      <c r="A442" s="68"/>
    </row>
    <row r="443" ht="12" customHeight="1">
      <c r="A443" s="68"/>
    </row>
    <row r="444" ht="12" customHeight="1">
      <c r="A444" s="68"/>
    </row>
    <row r="445" ht="12" customHeight="1">
      <c r="A445" s="68"/>
    </row>
    <row r="446" ht="12" customHeight="1">
      <c r="A446" s="68"/>
    </row>
    <row r="447" ht="12" customHeight="1">
      <c r="A447" s="68"/>
    </row>
    <row r="448" ht="12" customHeight="1">
      <c r="A448" s="68"/>
    </row>
    <row r="449" ht="12" customHeight="1">
      <c r="A449" s="68"/>
    </row>
    <row r="450" ht="12" customHeight="1">
      <c r="A450" s="68"/>
    </row>
    <row r="451" ht="12" customHeight="1">
      <c r="A451" s="68"/>
    </row>
    <row r="452" ht="12" customHeight="1">
      <c r="A452" s="68"/>
    </row>
    <row r="453" ht="12" customHeight="1">
      <c r="A453" s="68"/>
    </row>
    <row r="454" ht="12" customHeight="1">
      <c r="A454" s="68"/>
    </row>
    <row r="455" ht="12" customHeight="1">
      <c r="A455" s="68"/>
    </row>
    <row r="456" ht="12" customHeight="1">
      <c r="A456" s="68"/>
    </row>
    <row r="457" ht="12" customHeight="1">
      <c r="A457" s="68"/>
    </row>
    <row r="458" ht="12" customHeight="1">
      <c r="A458" s="68"/>
    </row>
    <row r="459" ht="12" customHeight="1">
      <c r="A459" s="68"/>
    </row>
    <row r="460" ht="12" customHeight="1">
      <c r="A460" s="68"/>
    </row>
    <row r="461" ht="12" customHeight="1">
      <c r="A461" s="68"/>
    </row>
    <row r="462" ht="12" customHeight="1">
      <c r="A462" s="68"/>
    </row>
    <row r="463" ht="12" customHeight="1">
      <c r="A463" s="68"/>
    </row>
    <row r="464" ht="12" customHeight="1">
      <c r="A464" s="68"/>
    </row>
    <row r="465" ht="12" customHeight="1">
      <c r="A465" s="68"/>
    </row>
    <row r="466" ht="12" customHeight="1">
      <c r="A466" s="68"/>
    </row>
  </sheetData>
  <mergeCells count="1">
    <mergeCell ref="A1:T1"/>
  </mergeCells>
  <printOptions/>
  <pageMargins left="0.23" right="0.16" top="0.84" bottom="0.5" header="0.11" footer="0.5"/>
  <pageSetup horizontalDpi="300" verticalDpi="300" orientation="landscape" paperSize="9" scale="95" r:id="rId1"/>
  <headerFooter alignWithMargins="0">
    <oddHeader>&amp;C&amp;"Tahoma,Bold Italic"&amp;16&amp;EDEPARTMENT OF JUSTICE AND CONSTITUTIONAL DEVELOPMENT&amp;"Arial,Regular"&amp;10&amp;E
&amp;"Tahoma,Italic"&amp;16Preliminary Accounts for the period ending 31 March 2003 - R '000&amp;"Arial,Regular"&amp;10
</oddHeader>
    <oddFooter>&amp;CPage &amp;P of &amp;N</oddFooter>
  </headerFooter>
  <rowBreaks count="4" manualBreakCount="4">
    <brk id="24" max="18" man="1"/>
    <brk id="48" max="18" man="1"/>
    <brk id="68" max="18" man="1"/>
    <brk id="9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HaOosthuizen</dc:creator>
  <cp:keywords/>
  <dc:description/>
  <cp:lastModifiedBy>PMG</cp:lastModifiedBy>
  <cp:lastPrinted>2003-05-16T08:01:37Z</cp:lastPrinted>
  <dcterms:created xsi:type="dcterms:W3CDTF">2001-06-12T10:26:26Z</dcterms:created>
  <dcterms:modified xsi:type="dcterms:W3CDTF">2005-09-21T07:34:03Z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