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281" windowWidth="6075" windowHeight="6525" tabRatio="659" firstSheet="1" activeTab="4"/>
  </bookViews>
  <sheets>
    <sheet name="Notes" sheetId="1" r:id="rId1"/>
    <sheet name="Schedule 1 " sheetId="2" r:id="rId2"/>
    <sheet name="Schedule 1  (Stra. Defence Pro)" sheetId="3" r:id="rId3"/>
    <sheet name="Schedule 1 (A) " sheetId="4" r:id="rId4"/>
    <sheet name="Schedule 2" sheetId="5" r:id="rId5"/>
    <sheet name="Schedule 3 (A)" sheetId="6" state="hidden" r:id="rId6"/>
    <sheet name="Schedule 3 (B) " sheetId="7" state="hidden" r:id="rId7"/>
    <sheet name="Schedule 4" sheetId="8" r:id="rId8"/>
    <sheet name="Schedule 5" sheetId="9" r:id="rId9"/>
    <sheet name="Schedule 6" sheetId="10" r:id="rId10"/>
    <sheet name="Schedule 7 " sheetId="11" r:id="rId11"/>
  </sheets>
  <definedNames>
    <definedName name="_xlnm.Print_Area" localSheetId="1">'Schedule 1 '!$A$1:$T$75</definedName>
    <definedName name="_xlnm.Print_Area" localSheetId="2">'Schedule 1  (Stra. Defence Pro)'!$A$1:$T$75</definedName>
    <definedName name="_xlnm.Print_Area" localSheetId="3">'Schedule 1 (A) '!$A$1:$O$59</definedName>
    <definedName name="_xlnm.Print_Area" localSheetId="4">'Schedule 2'!$A$1:$T$72</definedName>
    <definedName name="_xlnm.Print_Area" localSheetId="5">'Schedule 3 (A)'!$A$1:$R$142</definedName>
    <definedName name="_xlnm.Print_Area" localSheetId="6">'Schedule 3 (B) '!$A$1:$R$142</definedName>
    <definedName name="_xlnm.Print_Area" localSheetId="7">'Schedule 4'!$A$1:$R$39</definedName>
    <definedName name="_xlnm.Print_Area" localSheetId="8">'Schedule 5'!$A$1:$K$44</definedName>
    <definedName name="_xlnm.Print_Area" localSheetId="9">'Schedule 6'!$A$1:$J$55</definedName>
    <definedName name="_xlnm.Print_Area" localSheetId="10">'Schedule 7 '!$A$1:$Q$42</definedName>
    <definedName name="_xlnm.Print_Titles" localSheetId="5">'Schedule 3 (A)'!$4:$18</definedName>
    <definedName name="_xlnm.Print_Titles" localSheetId="6">'Schedule 3 (B) '!$4:$18</definedName>
  </definedNames>
  <calcPr fullCalcOnLoad="1"/>
</workbook>
</file>

<file path=xl/sharedStrings.xml><?xml version="1.0" encoding="utf-8"?>
<sst xmlns="http://schemas.openxmlformats.org/spreadsheetml/2006/main" count="1033" uniqueCount="237">
  <si>
    <t>2000/01</t>
  </si>
  <si>
    <t>2001/02</t>
  </si>
  <si>
    <t>2002/03</t>
  </si>
  <si>
    <t>2003/04</t>
  </si>
  <si>
    <t>TOTAL</t>
  </si>
  <si>
    <t>TREASURY</t>
  </si>
  <si>
    <t>R'000</t>
  </si>
  <si>
    <t>MTEF</t>
  </si>
  <si>
    <t>CHANGE</t>
  </si>
  <si>
    <t>REPRIO-</t>
  </si>
  <si>
    <t>%</t>
  </si>
  <si>
    <t xml:space="preserve">TO </t>
  </si>
  <si>
    <t>RITISED</t>
  </si>
  <si>
    <t>BASELINE</t>
  </si>
  <si>
    <t>PROGRAMME</t>
  </si>
  <si>
    <t>2004/05</t>
  </si>
  <si>
    <t>TO</t>
  </si>
  <si>
    <t>SUMMARY OF OPTIONS</t>
  </si>
  <si>
    <t>No.</t>
  </si>
  <si>
    <t>NAME OF OPTION</t>
  </si>
  <si>
    <t>DEPT</t>
  </si>
  <si>
    <t>SCHEDULE 2</t>
  </si>
  <si>
    <t>CLASSIFICATION</t>
  </si>
  <si>
    <t>ECONOMIC CLASSIFICATION</t>
  </si>
  <si>
    <t>CURRENT</t>
  </si>
  <si>
    <t>Personnel</t>
  </si>
  <si>
    <t>- Salaries and wages</t>
  </si>
  <si>
    <t>- Other</t>
  </si>
  <si>
    <t>Transfer payments</t>
  </si>
  <si>
    <t>- Subsidies to business enterprises</t>
  </si>
  <si>
    <t>- Other levels of government</t>
  </si>
  <si>
    <t xml:space="preserve">     social security funds</t>
  </si>
  <si>
    <t xml:space="preserve">     universities and technikons</t>
  </si>
  <si>
    <t xml:space="preserve">     extra-budgetary institutions</t>
  </si>
  <si>
    <t xml:space="preserve">     provincial government</t>
  </si>
  <si>
    <t xml:space="preserve">     local government</t>
  </si>
  <si>
    <t>- Households and non-profit institutions</t>
  </si>
  <si>
    <t>CAPITAL</t>
  </si>
  <si>
    <t>-  Motor vehicles (transport)</t>
  </si>
  <si>
    <t>-  Computer equipment</t>
  </si>
  <si>
    <t>-  Other office equipment</t>
  </si>
  <si>
    <t>-  Other</t>
  </si>
  <si>
    <t>Fixed capital</t>
  </si>
  <si>
    <t>- Land</t>
  </si>
  <si>
    <t>- Buildings</t>
  </si>
  <si>
    <t>- Infrastructure</t>
  </si>
  <si>
    <t>STANDARD ITEM</t>
  </si>
  <si>
    <t>Administrative</t>
  </si>
  <si>
    <t>Inventories</t>
  </si>
  <si>
    <t>Equipment</t>
  </si>
  <si>
    <t>Land and Buildings</t>
  </si>
  <si>
    <t>Professional and special services</t>
  </si>
  <si>
    <t>Miscellaneous</t>
  </si>
  <si>
    <t>Other current</t>
  </si>
  <si>
    <t>TOTAL (Options)</t>
  </si>
  <si>
    <t>TOTAL (Economic classification)</t>
  </si>
  <si>
    <t>TOTAL (Standard items)</t>
  </si>
  <si>
    <t>- Foreign countries &amp; international credit inst.</t>
  </si>
  <si>
    <t>(ENE)</t>
  </si>
  <si>
    <t>- Other capital transfers</t>
  </si>
  <si>
    <t>STATUTORY AMOUNTS</t>
  </si>
  <si>
    <t>AUDITED</t>
  </si>
  <si>
    <t>OUTCOME</t>
  </si>
  <si>
    <t>+6%)</t>
  </si>
  <si>
    <t>SUMMARY OF EXPENDITURE PROGRAMMES AND OPTIONS</t>
  </si>
  <si>
    <t>SUMMARY OF EXPENDITURE PER ECONOMIC CLASSIFICATION AND STANDARD ITEM CLASSIFICATION</t>
  </si>
  <si>
    <t>SCHEDULE 6</t>
  </si>
  <si>
    <t xml:space="preserve"> </t>
  </si>
  <si>
    <t/>
  </si>
  <si>
    <t>SCHEDULE 7</t>
  </si>
  <si>
    <t>LONG-TERM PLANNING</t>
  </si>
  <si>
    <t>2005/06</t>
  </si>
  <si>
    <t>2006/07</t>
  </si>
  <si>
    <t>2007/08</t>
  </si>
  <si>
    <t>2008/09</t>
  </si>
  <si>
    <t>2009/10</t>
  </si>
  <si>
    <t>2010/11</t>
  </si>
  <si>
    <t>-  Capital expenditure</t>
  </si>
  <si>
    <t>-  Professional fees</t>
  </si>
  <si>
    <t>-  Planned maintenance</t>
  </si>
  <si>
    <t>-  Municipal services, rates and taxes</t>
  </si>
  <si>
    <t>PROVINCE</t>
  </si>
  <si>
    <t>PRELIMI-</t>
  </si>
  <si>
    <t>NARY</t>
  </si>
  <si>
    <t>Eastern Cape</t>
  </si>
  <si>
    <t>Free State</t>
  </si>
  <si>
    <t>Gauteng</t>
  </si>
  <si>
    <t>KwaZulu-Natal</t>
  </si>
  <si>
    <t>Mpumalanga</t>
  </si>
  <si>
    <t>Northern Cape</t>
  </si>
  <si>
    <t>Northern Province</t>
  </si>
  <si>
    <t>North-West</t>
  </si>
  <si>
    <t>Western Cape</t>
  </si>
  <si>
    <t>Unallocated</t>
  </si>
  <si>
    <t>PROGRAMME / SUBPROGRAMME</t>
  </si>
  <si>
    <t>INFORMATION AND COMMUNICATIONS TECHNOLOGY EXPENDITURE PER PROGRAMME</t>
  </si>
  <si>
    <t>TECHNOLOGY</t>
  </si>
  <si>
    <t>IT SERVICES</t>
  </si>
  <si>
    <t>SUBTOTAL</t>
  </si>
  <si>
    <t>PROJECT LOANS</t>
  </si>
  <si>
    <t>A: PROJECT LOANS - RECENT AND AGREED FOR MTEF YEARS</t>
  </si>
  <si>
    <t>INCLUDED</t>
  </si>
  <si>
    <t>PROJECT</t>
  </si>
  <si>
    <t>WITHIN</t>
  </si>
  <si>
    <t>DONOR(S)</t>
  </si>
  <si>
    <t>1999/00</t>
  </si>
  <si>
    <t>MTEF?*</t>
  </si>
  <si>
    <t>Total</t>
  </si>
  <si>
    <t>B: PROJECT LOANS - UNDER CONSIDERATION</t>
  </si>
  <si>
    <t>TO BE</t>
  </si>
  <si>
    <t>DISCUSSED</t>
  </si>
  <si>
    <t>STATUS OF PROPOSED</t>
  </si>
  <si>
    <t>YET WITH</t>
  </si>
  <si>
    <t>PROJECT LOAN ***</t>
  </si>
  <si>
    <t>MTEF?**</t>
  </si>
  <si>
    <t xml:space="preserve">  * If not, this will need to be discussed with Treasury.</t>
  </si>
  <si>
    <t xml:space="preserve"> **All proposed project loans must be to be included within MTEF.</t>
  </si>
  <si>
    <t>*** This column should include for each proposal a paragraph explaining the state of play on development of the loan proposed and discussion with donor institutions.</t>
  </si>
  <si>
    <t>DONOR GRANT FUNDING</t>
  </si>
  <si>
    <t>A: DONOR GRANT FUNDING - RECENT AND AGREED FOR MTEF YEARS</t>
  </si>
  <si>
    <t>IN CASH</t>
  </si>
  <si>
    <t>OR IN</t>
  </si>
  <si>
    <t>KIND?*</t>
  </si>
  <si>
    <t>In-cash sub-total</t>
  </si>
  <si>
    <t>C</t>
  </si>
  <si>
    <t>In-kind sub-total</t>
  </si>
  <si>
    <t>K</t>
  </si>
  <si>
    <t>B: DONOR GRANT FUNDING – UNDER CONSIDERATION</t>
  </si>
  <si>
    <t>DONOR FUNDING?**</t>
  </si>
  <si>
    <t xml:space="preserve">  * Indicate with a C or a K.</t>
  </si>
  <si>
    <t>** This column should include for each line a paragraph explaining the state of play on development of the donor grant under consideration with donor institutions.</t>
  </si>
  <si>
    <r>
      <t>WORKS-IN-PROGRESS</t>
    </r>
    <r>
      <rPr>
        <b/>
        <i/>
        <sz val="14"/>
        <rFont val="Arial Narrow"/>
        <family val="2"/>
      </rPr>
      <t xml:space="preserve"> </t>
    </r>
    <r>
      <rPr>
        <i/>
        <sz val="14"/>
        <rFont val="Arial Narrow"/>
        <family val="2"/>
      </rPr>
      <t>(per project)</t>
    </r>
  </si>
  <si>
    <r>
      <t xml:space="preserve">NEW WORKS  </t>
    </r>
    <r>
      <rPr>
        <i/>
        <sz val="14"/>
        <rFont val="Arial Narrow"/>
        <family val="2"/>
      </rPr>
      <t>(per project)</t>
    </r>
  </si>
  <si>
    <t>SCHEDULE 5</t>
  </si>
  <si>
    <t>OPTIONS</t>
  </si>
  <si>
    <t>POLICY</t>
  </si>
  <si>
    <t>(2004/05</t>
  </si>
  <si>
    <t>2011/12</t>
  </si>
  <si>
    <t>EXPENDITURE OUTCOME</t>
  </si>
  <si>
    <t>ENE</t>
  </si>
  <si>
    <t>Conditional grants to provinces &amp; local government</t>
  </si>
  <si>
    <t>CONDITIONAL GRANTS TO PROVINCES (as per Division of Revenue Act)</t>
  </si>
  <si>
    <t>SCHEDULE 3 (A)</t>
  </si>
  <si>
    <t>CONDITIONAL GRANTS TO LOCAL GOVERNMENT (as per Division of Revenue Act)</t>
  </si>
  <si>
    <t>SCHEDULE 3 (B)</t>
  </si>
  <si>
    <t>Eastern Cape municipalities</t>
  </si>
  <si>
    <t>Free State municipalities</t>
  </si>
  <si>
    <t>Gauteng municipalities</t>
  </si>
  <si>
    <t>KwaZulu-Natal municipalities</t>
  </si>
  <si>
    <t>Mpumalanga municipalities</t>
  </si>
  <si>
    <t>Northern Cape municipalities</t>
  </si>
  <si>
    <t>Northern Province municipalities</t>
  </si>
  <si>
    <t>North-West municipalities</t>
  </si>
  <si>
    <t>Western Cape municipalities</t>
  </si>
  <si>
    <t>INFRASTRUCTURE EXPENDITURE</t>
  </si>
  <si>
    <t>SCHEDULE 4</t>
  </si>
  <si>
    <t>INFRASTRUCTURE PROJECTS</t>
  </si>
  <si>
    <t>/ AUDITED</t>
  </si>
  <si>
    <t>WORKS TO BE COMPLETED (2002/03)</t>
  </si>
  <si>
    <t>Name</t>
  </si>
  <si>
    <t>PRELIMINARY OUTCOME / AUDITED</t>
  </si>
  <si>
    <t>SCHEDULE 1 (A)</t>
  </si>
  <si>
    <t>Current</t>
  </si>
  <si>
    <t>Capital</t>
  </si>
  <si>
    <t>Acquisition of capital assets</t>
  </si>
  <si>
    <t>DESCRIPTION OF OPTIONS</t>
  </si>
  <si>
    <t xml:space="preserve">SCHEDULE 1 </t>
  </si>
  <si>
    <t>TOTAL: OPTIONS</t>
  </si>
  <si>
    <t>Statutory Amounts</t>
  </si>
  <si>
    <t>Constitutional institutions</t>
  </si>
  <si>
    <t>Moveable capital</t>
  </si>
  <si>
    <t>SUMMARY OF OPTIONS PER PROGRAMME AND ECONOMIC CLASSIFICATION</t>
  </si>
  <si>
    <t>VOTE:  21  DEFENCE</t>
  </si>
  <si>
    <t>1  Administration</t>
  </si>
  <si>
    <t>2  Landward Defence</t>
  </si>
  <si>
    <t>3  Air Defence</t>
  </si>
  <si>
    <t>4  Maritime Defence</t>
  </si>
  <si>
    <t>5  Military Health Support</t>
  </si>
  <si>
    <t>6  Defence Intelligence</t>
  </si>
  <si>
    <t>7  Joint Support</t>
  </si>
  <si>
    <t>8  Command and Control</t>
  </si>
  <si>
    <t>9  Special Defence Account</t>
  </si>
  <si>
    <t xml:space="preserve">10  </t>
  </si>
  <si>
    <t xml:space="preserve">   Subprogramme</t>
  </si>
  <si>
    <t xml:space="preserve">   Description of conditional grant (per grant)</t>
  </si>
  <si>
    <t>Details of statutory amounts</t>
  </si>
  <si>
    <t>Notes:</t>
  </si>
  <si>
    <t>The schedules have been linked to the database that was submitted for the 2002 Estimates of National Expenditure (ENE).</t>
  </si>
  <si>
    <t>Contact person:</t>
  </si>
  <si>
    <t>Cristina da Silva</t>
  </si>
  <si>
    <t>or</t>
  </si>
  <si>
    <t>Conrad Vermeulen</t>
  </si>
  <si>
    <t>Directorate: National Budgets</t>
  </si>
  <si>
    <t>Budget Office</t>
  </si>
  <si>
    <t>National Treasury</t>
  </si>
  <si>
    <t>Tel:</t>
  </si>
  <si>
    <t>(012) 315 5605</t>
  </si>
  <si>
    <t>(012) 315 5609</t>
  </si>
  <si>
    <t>Fax:</t>
  </si>
  <si>
    <t>(012) 315 5608</t>
  </si>
  <si>
    <t>E-mail:</t>
  </si>
  <si>
    <t>Cristina.daSilva@treasury.gov.za</t>
  </si>
  <si>
    <t>Conrad.Vermeulen@treasury.gov.za</t>
  </si>
  <si>
    <t>(no "H" in Cristina)</t>
  </si>
  <si>
    <r>
      <t xml:space="preserve">The schedules must be submitted on stiffy or by e-mail to National Treasury together with your Budget Submission on </t>
    </r>
    <r>
      <rPr>
        <b/>
        <sz val="10"/>
        <color indexed="20"/>
        <rFont val="Arial"/>
        <family val="2"/>
      </rPr>
      <t>5 August 2002</t>
    </r>
    <r>
      <rPr>
        <sz val="10"/>
        <rFont val="Arial"/>
        <family val="0"/>
      </rPr>
      <t>.</t>
    </r>
  </si>
  <si>
    <t>Administration</t>
  </si>
  <si>
    <t>Landward defence</t>
  </si>
  <si>
    <t>Air defence</t>
  </si>
  <si>
    <t>Denmark, Netherlands, USA</t>
  </si>
  <si>
    <t>United States, Zambia</t>
  </si>
  <si>
    <t>Maritime defence</t>
  </si>
  <si>
    <t>France, Germany, USA</t>
  </si>
  <si>
    <t>Military health support</t>
  </si>
  <si>
    <t>USA, private companies</t>
  </si>
  <si>
    <t>Joint support</t>
  </si>
  <si>
    <t>USA</t>
  </si>
  <si>
    <t>Germany</t>
  </si>
  <si>
    <t>Command and control</t>
  </si>
  <si>
    <t>Austria, France, Germany, Netherlands, UK</t>
  </si>
  <si>
    <t>US$6m - Will probably be used to acquire C130 spares. Early stages of negotiations.</t>
  </si>
  <si>
    <t>US$5m - Will probably be used to acquire mobile hospital. Early stages of negotiations.</t>
  </si>
  <si>
    <t>Strategic Defence Procurement</t>
  </si>
  <si>
    <t xml:space="preserve">   DoD budget available</t>
  </si>
  <si>
    <t xml:space="preserve">   Supplementary allocation</t>
  </si>
  <si>
    <t>Defence intelligence</t>
  </si>
  <si>
    <t>Special defence account</t>
  </si>
  <si>
    <t>Funding of increased internal SA Army deployment</t>
  </si>
  <si>
    <t>Conventional Reserve Force utilisation</t>
  </si>
  <si>
    <t>OPTION 1 - Funding of increased internal SA Army deployment.</t>
  </si>
  <si>
    <t>1 Landward Defence (General Training Capability)</t>
  </si>
  <si>
    <t>1 Landward Defence (General Training Capability and Defence Commitments)</t>
  </si>
  <si>
    <t>1 Joint Support (Joint Logistics Services)</t>
  </si>
  <si>
    <t>Military Skills Development System (MSDS): 3000 members annually</t>
  </si>
  <si>
    <t>Development of an ammunition disposal plant</t>
  </si>
  <si>
    <t>OPTION 2 - Military Skills Deployment System (MSDS): 3000 members annually</t>
  </si>
  <si>
    <t>OPTION 3 - Conventional Reserve Force utilisation</t>
  </si>
  <si>
    <t>OPTION 4 - Development of an ammunition disposal plant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</si>
</sst>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;\(#,##0\)"/>
    <numFmt numFmtId="181" formatCode="_ * #,##0_ ;_ * \(#,##0\)_ ;_ * &quot;-&quot;??_ ;_ @_ 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 * #,##0_ \ ;_ * \(#,##0\)_ ;_ * &quot;-&quot;??_ ;_ @_ "/>
    <numFmt numFmtId="187" formatCode="_ * #,##0.0_ \ ;_ * \(#,##0.0\)_ ;_ * &quot;-&quot;??_ ;_ @_ "/>
    <numFmt numFmtId="188" formatCode="0.0_);\(0.0\)"/>
    <numFmt numFmtId="189" formatCode="_ * #,##0.0_ ;_ * \-#,##0.0_ ;_ * &quot;-&quot;?_ ;_ @_ "/>
    <numFmt numFmtId="190" formatCode="0.0%"/>
    <numFmt numFmtId="191" formatCode="0.0%_);\(0.0\)%"/>
    <numFmt numFmtId="192" formatCode="0.0%\ \);\(0.0\)%"/>
    <numFmt numFmtId="193" formatCode="0.0%\ ;\(0.0\)%"/>
    <numFmt numFmtId="194" formatCode="_ * #,##0.0_ ;_ * \(#,##0.0\)_ ;_ * &quot;-&quot;??_ ;_ @_ "/>
    <numFmt numFmtId="195" formatCode="0.00%\ ;\(0.00\)%"/>
    <numFmt numFmtId="196" formatCode="_ * #,##0.00_ ;_ * \(#,##0.00\)_ ;_ * &quot;-&quot;??_ ;_ @_ "/>
    <numFmt numFmtId="197" formatCode="#,##0.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&quot;$&quot;\ * #,##0.00_ ;_ &quot;$&quot;\ * \-#,##0.00_ ;_ &quot;$&quot;\ * &quot;-&quot;??_ ;_ @_ "/>
    <numFmt numFmtId="204" formatCode="&quot;R&quot;#,##0;\-&quot;R&quot;#,##0"/>
    <numFmt numFmtId="205" formatCode="&quot;R&quot;#,##0;[Red]\-&quot;R&quot;#,##0"/>
    <numFmt numFmtId="206" formatCode="&quot;R&quot;#,##0.00;\-&quot;R&quot;#,##0.00"/>
    <numFmt numFmtId="207" formatCode="&quot;R&quot;#,##0.00;[Red]\-&quot;R&quot;#,##0.00"/>
    <numFmt numFmtId="208" formatCode="_-&quot;R&quot;* #,##0_-;\-&quot;R&quot;* #,##0_-;_-&quot;R&quot;* &quot;-&quot;_-;_-@_-"/>
    <numFmt numFmtId="209" formatCode="_-&quot;R&quot;* #,##0.00_-;\-&quot;R&quot;* #,##0.00_-;_-&quot;R&quot;* &quot;-&quot;??_-;_-@_-"/>
    <numFmt numFmtId="210" formatCode="_-* #,##0.0_-;\-* #,##0.0_-;_-* &quot;-&quot;?_-;_-@_-"/>
  </numFmts>
  <fonts count="3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6"/>
      <name val="Arial Black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u val="single"/>
      <sz val="13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sz val="14"/>
      <name val="Arial Black"/>
      <family val="2"/>
    </font>
    <font>
      <b/>
      <strike/>
      <sz val="14"/>
      <name val="Arial Narrow"/>
      <family val="2"/>
    </font>
    <font>
      <b/>
      <i/>
      <u val="single"/>
      <sz val="14"/>
      <name val="Arial Narrow"/>
      <family val="2"/>
    </font>
    <font>
      <b/>
      <sz val="16"/>
      <name val="Arial Narrow"/>
      <family val="2"/>
    </font>
    <font>
      <sz val="16"/>
      <name val="Arial Black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u val="single"/>
      <sz val="16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/>
    </border>
    <border>
      <left style="thick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/>
      <top style="medium"/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>
        <color indexed="8"/>
      </right>
      <top style="medium"/>
      <bottom style="thick"/>
    </border>
    <border>
      <left style="thick">
        <color indexed="8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>
        <color indexed="8"/>
      </left>
      <right style="medium"/>
      <top style="medium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/>
      <top style="medium">
        <color indexed="8"/>
      </top>
      <bottom style="thick">
        <color indexed="8"/>
      </bottom>
    </border>
    <border>
      <left style="medium"/>
      <right style="thick"/>
      <top style="medium">
        <color indexed="8"/>
      </top>
      <bottom style="thick">
        <color indexed="8"/>
      </bottom>
    </border>
    <border>
      <left style="thick"/>
      <right style="medium"/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/>
      <top style="medium">
        <color indexed="8"/>
      </top>
      <bottom style="thin"/>
    </border>
    <border>
      <left style="medium"/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ck"/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ck"/>
      <top style="medium">
        <color indexed="8"/>
      </top>
      <bottom>
        <color indexed="63"/>
      </bottom>
    </border>
    <border>
      <left style="thick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60">
    <xf numFmtId="0" fontId="0" fillId="0" borderId="0" xfId="0" applyAlignment="1">
      <alignment/>
    </xf>
    <xf numFmtId="182" fontId="7" fillId="0" borderId="0" xfId="0" applyNumberFormat="1" applyFont="1" applyFill="1" applyAlignment="1" applyProtection="1">
      <alignment horizontal="centerContinuous"/>
      <protection/>
    </xf>
    <xf numFmtId="181" fontId="14" fillId="0" borderId="0" xfId="0" applyNumberFormat="1" applyFont="1" applyAlignment="1" applyProtection="1">
      <alignment/>
      <protection/>
    </xf>
    <xf numFmtId="194" fontId="14" fillId="0" borderId="0" xfId="0" applyNumberFormat="1" applyFont="1" applyAlignment="1" applyProtection="1">
      <alignment/>
      <protection/>
    </xf>
    <xf numFmtId="194" fontId="14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right"/>
      <protection/>
    </xf>
    <xf numFmtId="182" fontId="16" fillId="0" borderId="0" xfId="0" applyNumberFormat="1" applyFont="1" applyAlignment="1" applyProtection="1">
      <alignment horizontal="centerContinuous"/>
      <protection/>
    </xf>
    <xf numFmtId="182" fontId="11" fillId="0" borderId="2" xfId="0" applyNumberFormat="1" applyFont="1" applyBorder="1" applyAlignment="1" applyProtection="1">
      <alignment/>
      <protection/>
    </xf>
    <xf numFmtId="181" fontId="11" fillId="0" borderId="3" xfId="0" applyNumberFormat="1" applyFont="1" applyBorder="1" applyAlignment="1" applyProtection="1">
      <alignment/>
      <protection/>
    </xf>
    <xf numFmtId="181" fontId="11" fillId="0" borderId="4" xfId="0" applyNumberFormat="1" applyFont="1" applyBorder="1" applyAlignment="1" applyProtection="1">
      <alignment/>
      <protection/>
    </xf>
    <xf numFmtId="181" fontId="11" fillId="0" borderId="5" xfId="0" applyNumberFormat="1" applyFont="1" applyBorder="1" applyAlignment="1" applyProtection="1">
      <alignment/>
      <protection/>
    </xf>
    <xf numFmtId="181" fontId="11" fillId="0" borderId="0" xfId="0" applyNumberFormat="1" applyFont="1" applyAlignment="1" applyProtection="1">
      <alignment/>
      <protection/>
    </xf>
    <xf numFmtId="194" fontId="11" fillId="0" borderId="6" xfId="0" applyNumberFormat="1" applyFont="1" applyBorder="1" applyAlignment="1" applyProtection="1">
      <alignment/>
      <protection/>
    </xf>
    <xf numFmtId="194" fontId="11" fillId="0" borderId="7" xfId="0" applyNumberFormat="1" applyFont="1" applyBorder="1" applyAlignment="1" applyProtection="1">
      <alignment/>
      <protection/>
    </xf>
    <xf numFmtId="182" fontId="12" fillId="0" borderId="8" xfId="0" applyNumberFormat="1" applyFont="1" applyBorder="1" applyAlignment="1" applyProtection="1">
      <alignment horizontal="center"/>
      <protection/>
    </xf>
    <xf numFmtId="181" fontId="12" fillId="0" borderId="9" xfId="0" applyNumberFormat="1" applyFont="1" applyBorder="1" applyAlignment="1" applyProtection="1">
      <alignment horizont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1" xfId="0" applyNumberFormat="1" applyFont="1" applyBorder="1" applyAlignment="1" applyProtection="1" quotePrefix="1">
      <alignment horizontal="center" vertical="center"/>
      <protection/>
    </xf>
    <xf numFmtId="181" fontId="12" fillId="0" borderId="10" xfId="0" applyNumberFormat="1" applyFont="1" applyBorder="1" applyAlignment="1" applyProtection="1" quotePrefix="1">
      <alignment horizontal="center" vertical="center"/>
      <protection/>
    </xf>
    <xf numFmtId="181" fontId="12" fillId="0" borderId="12" xfId="0" applyNumberFormat="1" applyFont="1" applyBorder="1" applyAlignment="1" applyProtection="1" quotePrefix="1">
      <alignment horizontal="center" vertical="center"/>
      <protection/>
    </xf>
    <xf numFmtId="181" fontId="12" fillId="0" borderId="13" xfId="0" applyNumberFormat="1" applyFont="1" applyBorder="1" applyAlignment="1" applyProtection="1" quotePrefix="1">
      <alignment horizontal="centerContinuous" vertical="center"/>
      <protection/>
    </xf>
    <xf numFmtId="181" fontId="12" fillId="0" borderId="14" xfId="0" applyNumberFormat="1" applyFont="1" applyBorder="1" applyAlignment="1" applyProtection="1" quotePrefix="1">
      <alignment horizontal="centerContinuous" vertical="center"/>
      <protection/>
    </xf>
    <xf numFmtId="181" fontId="12" fillId="0" borderId="14" xfId="0" applyNumberFormat="1" applyFont="1" applyBorder="1" applyAlignment="1" applyProtection="1">
      <alignment horizontal="centerContinuous" vertical="center"/>
      <protection/>
    </xf>
    <xf numFmtId="181" fontId="12" fillId="0" borderId="15" xfId="0" applyNumberFormat="1" applyFont="1" applyBorder="1" applyAlignment="1" applyProtection="1">
      <alignment horizontal="centerContinuous" vertical="center"/>
      <protection/>
    </xf>
    <xf numFmtId="181" fontId="12" fillId="0" borderId="16" xfId="0" applyNumberFormat="1" applyFont="1" applyBorder="1" applyAlignment="1" applyProtection="1" quotePrefix="1">
      <alignment horizontal="centerContinuous" vertical="center"/>
      <protection/>
    </xf>
    <xf numFmtId="181" fontId="12" fillId="0" borderId="14" xfId="0" applyNumberFormat="1" applyFont="1" applyBorder="1" applyAlignment="1" applyProtection="1" quotePrefix="1">
      <alignment horizontal="centerContinuous" vertical="center"/>
      <protection/>
    </xf>
    <xf numFmtId="181" fontId="12" fillId="0" borderId="14" xfId="0" applyNumberFormat="1" applyFont="1" applyBorder="1" applyAlignment="1" applyProtection="1">
      <alignment horizontal="centerContinuous" vertical="center"/>
      <protection/>
    </xf>
    <xf numFmtId="181" fontId="11" fillId="0" borderId="17" xfId="0" applyNumberFormat="1" applyFont="1" applyBorder="1" applyAlignment="1" applyProtection="1">
      <alignment horizontal="centerContinuous" vertical="center"/>
      <protection/>
    </xf>
    <xf numFmtId="194" fontId="12" fillId="0" borderId="18" xfId="0" applyNumberFormat="1" applyFont="1" applyBorder="1" applyAlignment="1" applyProtection="1" quotePrefix="1">
      <alignment horizontal="center"/>
      <protection/>
    </xf>
    <xf numFmtId="194" fontId="12" fillId="0" borderId="19" xfId="0" applyNumberFormat="1" applyFont="1" applyBorder="1" applyAlignment="1" applyProtection="1">
      <alignment horizontal="centerContinuous"/>
      <protection/>
    </xf>
    <xf numFmtId="182" fontId="12" fillId="0" borderId="8" xfId="0" applyNumberFormat="1" applyFont="1" applyBorder="1" applyAlignment="1" applyProtection="1">
      <alignment horizontal="centerContinuous"/>
      <protection/>
    </xf>
    <xf numFmtId="181" fontId="12" fillId="0" borderId="9" xfId="0" applyNumberFormat="1" applyFont="1" applyBorder="1" applyAlignment="1" applyProtection="1">
      <alignment horizontal="centerContinuous"/>
      <protection/>
    </xf>
    <xf numFmtId="181" fontId="11" fillId="0" borderId="20" xfId="0" applyNumberFormat="1" applyFont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 horizontal="center"/>
      <protection/>
    </xf>
    <xf numFmtId="181" fontId="12" fillId="0" borderId="20" xfId="0" applyNumberFormat="1" applyFont="1" applyBorder="1" applyAlignment="1" applyProtection="1">
      <alignment horizontal="center"/>
      <protection/>
    </xf>
    <xf numFmtId="181" fontId="12" fillId="0" borderId="21" xfId="0" applyNumberFormat="1" applyFont="1" applyBorder="1" applyAlignment="1" applyProtection="1">
      <alignment horizontal="center"/>
      <protection/>
    </xf>
    <xf numFmtId="181" fontId="12" fillId="0" borderId="18" xfId="0" applyNumberFormat="1" applyFont="1" applyBorder="1" applyAlignment="1" applyProtection="1">
      <alignment horizontal="center"/>
      <protection/>
    </xf>
    <xf numFmtId="181" fontId="12" fillId="0" borderId="22" xfId="0" applyNumberFormat="1" applyFont="1" applyBorder="1" applyAlignment="1" applyProtection="1">
      <alignment horizontal="center"/>
      <protection/>
    </xf>
    <xf numFmtId="181" fontId="12" fillId="0" borderId="19" xfId="0" applyNumberFormat="1" applyFont="1" applyBorder="1" applyAlignment="1" applyProtection="1">
      <alignment horizontal="center"/>
      <protection/>
    </xf>
    <xf numFmtId="181" fontId="12" fillId="0" borderId="23" xfId="0" applyNumberFormat="1" applyFont="1" applyBorder="1" applyAlignment="1" applyProtection="1">
      <alignment horizontal="center"/>
      <protection/>
    </xf>
    <xf numFmtId="181" fontId="12" fillId="0" borderId="24" xfId="0" applyNumberFormat="1" applyFont="1" applyBorder="1" applyAlignment="1" applyProtection="1" quotePrefix="1">
      <alignment horizontal="center"/>
      <protection/>
    </xf>
    <xf numFmtId="194" fontId="12" fillId="0" borderId="18" xfId="0" applyNumberFormat="1" applyFont="1" applyBorder="1" applyAlignment="1" applyProtection="1">
      <alignment horizontal="center"/>
      <protection/>
    </xf>
    <xf numFmtId="194" fontId="12" fillId="0" borderId="19" xfId="0" applyNumberFormat="1" applyFont="1" applyBorder="1" applyAlignment="1" applyProtection="1">
      <alignment horizontal="center"/>
      <protection/>
    </xf>
    <xf numFmtId="182" fontId="11" fillId="0" borderId="8" xfId="0" applyNumberFormat="1" applyFont="1" applyBorder="1" applyAlignment="1" applyProtection="1">
      <alignment/>
      <protection/>
    </xf>
    <xf numFmtId="181" fontId="11" fillId="0" borderId="9" xfId="0" applyNumberFormat="1" applyFont="1" applyBorder="1" applyAlignment="1" applyProtection="1">
      <alignment/>
      <protection/>
    </xf>
    <xf numFmtId="181" fontId="12" fillId="0" borderId="20" xfId="0" applyNumberFormat="1" applyFont="1" applyBorder="1" applyAlignment="1" applyProtection="1">
      <alignment horizontal="center"/>
      <protection/>
    </xf>
    <xf numFmtId="181" fontId="12" fillId="0" borderId="24" xfId="0" applyNumberFormat="1" applyFont="1" applyBorder="1" applyAlignment="1" applyProtection="1">
      <alignment horizontal="center"/>
      <protection/>
    </xf>
    <xf numFmtId="194" fontId="12" fillId="0" borderId="19" xfId="0" applyNumberFormat="1" applyFont="1" applyBorder="1" applyAlignment="1" applyProtection="1" quotePrefix="1">
      <alignment horizontal="center"/>
      <protection/>
    </xf>
    <xf numFmtId="181" fontId="12" fillId="0" borderId="8" xfId="0" applyNumberFormat="1" applyFont="1" applyBorder="1" applyAlignment="1" applyProtection="1">
      <alignment horizontal="center"/>
      <protection/>
    </xf>
    <xf numFmtId="181" fontId="12" fillId="0" borderId="24" xfId="0" applyNumberFormat="1" applyFont="1" applyBorder="1" applyAlignment="1" applyProtection="1">
      <alignment/>
      <protection/>
    </xf>
    <xf numFmtId="181" fontId="13" fillId="0" borderId="9" xfId="0" applyNumberFormat="1" applyFont="1" applyBorder="1" applyAlignment="1" applyProtection="1">
      <alignment/>
      <protection/>
    </xf>
    <xf numFmtId="181" fontId="13" fillId="0" borderId="21" xfId="0" applyNumberFormat="1" applyFont="1" applyBorder="1" applyAlignment="1" applyProtection="1">
      <alignment/>
      <protection/>
    </xf>
    <xf numFmtId="181" fontId="12" fillId="0" borderId="18" xfId="0" applyNumberFormat="1" applyFont="1" applyBorder="1" applyAlignment="1" applyProtection="1" quotePrefix="1">
      <alignment horizontal="center"/>
      <protection/>
    </xf>
    <xf numFmtId="194" fontId="12" fillId="0" borderId="18" xfId="0" applyNumberFormat="1" applyFont="1" applyBorder="1" applyAlignment="1" applyProtection="1" quotePrefix="1">
      <alignment horizontal="center"/>
      <protection/>
    </xf>
    <xf numFmtId="194" fontId="12" fillId="0" borderId="19" xfId="0" applyNumberFormat="1" applyFont="1" applyBorder="1" applyAlignment="1" applyProtection="1" quotePrefix="1">
      <alignment horizontal="center"/>
      <protection/>
    </xf>
    <xf numFmtId="182" fontId="12" fillId="0" borderId="25" xfId="0" applyNumberFormat="1" applyFont="1" applyBorder="1" applyAlignment="1" applyProtection="1">
      <alignment horizontal="center"/>
      <protection/>
    </xf>
    <xf numFmtId="180" fontId="12" fillId="0" borderId="26" xfId="0" applyNumberFormat="1" applyFont="1" applyBorder="1" applyAlignment="1" applyProtection="1">
      <alignment horizontal="center"/>
      <protection/>
    </xf>
    <xf numFmtId="180" fontId="12" fillId="0" borderId="27" xfId="0" applyNumberFormat="1" applyFont="1" applyBorder="1" applyAlignment="1" applyProtection="1">
      <alignment horizontal="center"/>
      <protection/>
    </xf>
    <xf numFmtId="180" fontId="12" fillId="0" borderId="26" xfId="0" applyNumberFormat="1" applyFont="1" applyBorder="1" applyAlignment="1" applyProtection="1" quotePrefix="1">
      <alignment horizontal="center"/>
      <protection/>
    </xf>
    <xf numFmtId="180" fontId="12" fillId="0" borderId="27" xfId="0" applyNumberFormat="1" applyFont="1" applyBorder="1" applyAlignment="1" applyProtection="1" quotePrefix="1">
      <alignment horizontal="center"/>
      <protection/>
    </xf>
    <xf numFmtId="180" fontId="12" fillId="0" borderId="28" xfId="0" applyNumberFormat="1" applyFont="1" applyBorder="1" applyAlignment="1" applyProtection="1" quotePrefix="1">
      <alignment horizontal="center"/>
      <protection/>
    </xf>
    <xf numFmtId="180" fontId="12" fillId="0" borderId="29" xfId="0" applyNumberFormat="1" applyFont="1" applyBorder="1" applyAlignment="1" applyProtection="1" quotePrefix="1">
      <alignment horizontal="center"/>
      <protection/>
    </xf>
    <xf numFmtId="180" fontId="12" fillId="0" borderId="30" xfId="0" applyNumberFormat="1" applyFont="1" applyBorder="1" applyAlignment="1" applyProtection="1" quotePrefix="1">
      <alignment horizontal="center"/>
      <protection/>
    </xf>
    <xf numFmtId="180" fontId="12" fillId="0" borderId="29" xfId="0" applyNumberFormat="1" applyFont="1" applyFill="1" applyBorder="1" applyAlignment="1" applyProtection="1" quotePrefix="1">
      <alignment horizontal="center"/>
      <protection/>
    </xf>
    <xf numFmtId="180" fontId="12" fillId="0" borderId="30" xfId="0" applyNumberFormat="1" applyFont="1" applyFill="1" applyBorder="1" applyAlignment="1" applyProtection="1" quotePrefix="1">
      <alignment horizontal="center"/>
      <protection/>
    </xf>
    <xf numFmtId="180" fontId="12" fillId="0" borderId="31" xfId="0" applyNumberFormat="1" applyFont="1" applyFill="1" applyBorder="1" applyAlignment="1" applyProtection="1" quotePrefix="1">
      <alignment horizontal="center"/>
      <protection/>
    </xf>
    <xf numFmtId="180" fontId="12" fillId="0" borderId="32" xfId="0" applyNumberFormat="1" applyFont="1" applyBorder="1" applyAlignment="1" applyProtection="1" quotePrefix="1">
      <alignment horizontal="center"/>
      <protection/>
    </xf>
    <xf numFmtId="180" fontId="11" fillId="0" borderId="0" xfId="0" applyNumberFormat="1" applyFont="1" applyAlignment="1" applyProtection="1">
      <alignment/>
      <protection/>
    </xf>
    <xf numFmtId="180" fontId="12" fillId="0" borderId="31" xfId="0" applyNumberFormat="1" applyFont="1" applyBorder="1" applyAlignment="1" applyProtection="1" quotePrefix="1">
      <alignment horizontal="center"/>
      <protection/>
    </xf>
    <xf numFmtId="182" fontId="14" fillId="0" borderId="8" xfId="0" applyNumberFormat="1" applyFont="1" applyBorder="1" applyAlignment="1" applyProtection="1">
      <alignment/>
      <protection/>
    </xf>
    <xf numFmtId="181" fontId="14" fillId="0" borderId="9" xfId="0" applyNumberFormat="1" applyFont="1" applyBorder="1" applyAlignment="1" applyProtection="1">
      <alignment/>
      <protection/>
    </xf>
    <xf numFmtId="181" fontId="14" fillId="0" borderId="20" xfId="0" applyNumberFormat="1" applyFont="1" applyBorder="1" applyAlignment="1" applyProtection="1">
      <alignment/>
      <protection/>
    </xf>
    <xf numFmtId="181" fontId="15" fillId="0" borderId="9" xfId="0" applyNumberFormat="1" applyFont="1" applyBorder="1" applyAlignment="1" applyProtection="1">
      <alignment horizontal="right"/>
      <protection/>
    </xf>
    <xf numFmtId="181" fontId="15" fillId="0" borderId="20" xfId="0" applyNumberFormat="1" applyFont="1" applyBorder="1" applyAlignment="1" applyProtection="1">
      <alignment horizontal="right"/>
      <protection/>
    </xf>
    <xf numFmtId="181" fontId="15" fillId="0" borderId="21" xfId="0" applyNumberFormat="1" applyFont="1" applyBorder="1" applyAlignment="1" applyProtection="1">
      <alignment horizontal="right"/>
      <protection/>
    </xf>
    <xf numFmtId="181" fontId="15" fillId="0" borderId="18" xfId="0" applyNumberFormat="1" applyFont="1" applyBorder="1" applyAlignment="1" applyProtection="1">
      <alignment horizontal="right"/>
      <protection/>
    </xf>
    <xf numFmtId="181" fontId="15" fillId="0" borderId="22" xfId="0" applyNumberFormat="1" applyFont="1" applyBorder="1" applyAlignment="1" applyProtection="1">
      <alignment horizontal="right"/>
      <protection/>
    </xf>
    <xf numFmtId="181" fontId="15" fillId="0" borderId="19" xfId="0" applyNumberFormat="1" applyFont="1" applyBorder="1" applyAlignment="1" applyProtection="1">
      <alignment horizontal="right"/>
      <protection/>
    </xf>
    <xf numFmtId="181" fontId="14" fillId="0" borderId="24" xfId="0" applyNumberFormat="1" applyFont="1" applyBorder="1" applyAlignment="1" applyProtection="1">
      <alignment/>
      <protection/>
    </xf>
    <xf numFmtId="194" fontId="15" fillId="0" borderId="18" xfId="0" applyNumberFormat="1" applyFont="1" applyBorder="1" applyAlignment="1" applyProtection="1">
      <alignment horizontal="right"/>
      <protection/>
    </xf>
    <xf numFmtId="194" fontId="15" fillId="0" borderId="19" xfId="0" applyNumberFormat="1" applyFont="1" applyBorder="1" applyAlignment="1" applyProtection="1">
      <alignment horizontal="right"/>
      <protection/>
    </xf>
    <xf numFmtId="181" fontId="14" fillId="0" borderId="19" xfId="0" applyNumberFormat="1" applyFont="1" applyBorder="1" applyAlignment="1" applyProtection="1">
      <alignment/>
      <protection/>
    </xf>
    <xf numFmtId="181" fontId="14" fillId="0" borderId="18" xfId="0" applyNumberFormat="1" applyFont="1" applyBorder="1" applyAlignment="1" applyProtection="1">
      <alignment/>
      <protection/>
    </xf>
    <xf numFmtId="193" fontId="14" fillId="0" borderId="33" xfId="0" applyNumberFormat="1" applyFont="1" applyBorder="1" applyAlignment="1" applyProtection="1">
      <alignment horizontal="right"/>
      <protection/>
    </xf>
    <xf numFmtId="193" fontId="14" fillId="0" borderId="34" xfId="0" applyNumberFormat="1" applyFont="1" applyBorder="1" applyAlignment="1" applyProtection="1">
      <alignment horizontal="right"/>
      <protection/>
    </xf>
    <xf numFmtId="193" fontId="14" fillId="0" borderId="18" xfId="0" applyNumberFormat="1" applyFont="1" applyBorder="1" applyAlignment="1" applyProtection="1">
      <alignment/>
      <protection/>
    </xf>
    <xf numFmtId="193" fontId="14" fillId="0" borderId="19" xfId="0" applyNumberFormat="1" applyFont="1" applyBorder="1" applyAlignment="1" applyProtection="1">
      <alignment/>
      <protection/>
    </xf>
    <xf numFmtId="193" fontId="14" fillId="0" borderId="18" xfId="0" applyNumberFormat="1" applyFont="1" applyBorder="1" applyAlignment="1" applyProtection="1">
      <alignment horizontal="right"/>
      <protection/>
    </xf>
    <xf numFmtId="193" fontId="14" fillId="0" borderId="19" xfId="0" applyNumberFormat="1" applyFont="1" applyBorder="1" applyAlignment="1" applyProtection="1">
      <alignment horizontal="right"/>
      <protection/>
    </xf>
    <xf numFmtId="182" fontId="10" fillId="0" borderId="8" xfId="0" applyNumberFormat="1" applyFont="1" applyFill="1" applyBorder="1" applyAlignment="1" applyProtection="1">
      <alignment/>
      <protection/>
    </xf>
    <xf numFmtId="181" fontId="10" fillId="0" borderId="9" xfId="0" applyNumberFormat="1" applyFont="1" applyBorder="1" applyAlignment="1" applyProtection="1">
      <alignment/>
      <protection/>
    </xf>
    <xf numFmtId="181" fontId="10" fillId="0" borderId="35" xfId="0" applyNumberFormat="1" applyFont="1" applyBorder="1" applyAlignment="1" applyProtection="1">
      <alignment/>
      <protection/>
    </xf>
    <xf numFmtId="181" fontId="10" fillId="0" borderId="36" xfId="0" applyNumberFormat="1" applyFont="1" applyBorder="1" applyAlignment="1" applyProtection="1">
      <alignment/>
      <protection/>
    </xf>
    <xf numFmtId="181" fontId="10" fillId="0" borderId="19" xfId="0" applyNumberFormat="1" applyFont="1" applyBorder="1" applyAlignment="1" applyProtection="1">
      <alignment/>
      <protection/>
    </xf>
    <xf numFmtId="181" fontId="10" fillId="0" borderId="18" xfId="0" applyNumberFormat="1" applyFont="1" applyBorder="1" applyAlignment="1" applyProtection="1">
      <alignment/>
      <protection/>
    </xf>
    <xf numFmtId="181" fontId="10" fillId="0" borderId="37" xfId="0" applyNumberFormat="1" applyFont="1" applyBorder="1" applyAlignment="1" applyProtection="1">
      <alignment/>
      <protection/>
    </xf>
    <xf numFmtId="181" fontId="10" fillId="0" borderId="38" xfId="0" applyNumberFormat="1" applyFont="1" applyBorder="1" applyAlignment="1" applyProtection="1">
      <alignment/>
      <protection/>
    </xf>
    <xf numFmtId="181" fontId="10" fillId="0" borderId="39" xfId="0" applyNumberFormat="1" applyFont="1" applyBorder="1" applyAlignment="1" applyProtection="1">
      <alignment/>
      <protection/>
    </xf>
    <xf numFmtId="193" fontId="10" fillId="0" borderId="33" xfId="0" applyNumberFormat="1" applyFont="1" applyBorder="1" applyAlignment="1" applyProtection="1">
      <alignment horizontal="right"/>
      <protection/>
    </xf>
    <xf numFmtId="193" fontId="10" fillId="0" borderId="34" xfId="0" applyNumberFormat="1" applyFont="1" applyBorder="1" applyAlignment="1" applyProtection="1">
      <alignment horizontal="right"/>
      <protection/>
    </xf>
    <xf numFmtId="181" fontId="14" fillId="0" borderId="40" xfId="0" applyNumberFormat="1" applyFont="1" applyBorder="1" applyAlignment="1" applyProtection="1">
      <alignment/>
      <protection/>
    </xf>
    <xf numFmtId="181" fontId="14" fillId="0" borderId="41" xfId="0" applyNumberFormat="1" applyFont="1" applyBorder="1" applyAlignment="1" applyProtection="1">
      <alignment/>
      <protection/>
    </xf>
    <xf numFmtId="181" fontId="14" fillId="0" borderId="42" xfId="0" applyNumberFormat="1" applyFont="1" applyBorder="1" applyAlignment="1" applyProtection="1">
      <alignment/>
      <protection/>
    </xf>
    <xf numFmtId="193" fontId="14" fillId="0" borderId="43" xfId="0" applyNumberFormat="1" applyFont="1" applyBorder="1" applyAlignment="1" applyProtection="1">
      <alignment horizontal="right"/>
      <protection/>
    </xf>
    <xf numFmtId="193" fontId="14" fillId="0" borderId="44" xfId="0" applyNumberFormat="1" applyFont="1" applyBorder="1" applyAlignment="1" applyProtection="1">
      <alignment horizontal="right"/>
      <protection/>
    </xf>
    <xf numFmtId="181" fontId="14" fillId="0" borderId="37" xfId="0" applyNumberFormat="1" applyFont="1" applyBorder="1" applyAlignment="1" applyProtection="1">
      <alignment/>
      <protection/>
    </xf>
    <xf numFmtId="181" fontId="14" fillId="0" borderId="38" xfId="0" applyNumberFormat="1" applyFont="1" applyBorder="1" applyAlignment="1" applyProtection="1">
      <alignment/>
      <protection/>
    </xf>
    <xf numFmtId="181" fontId="14" fillId="0" borderId="45" xfId="0" applyNumberFormat="1" applyFont="1" applyBorder="1" applyAlignment="1" applyProtection="1">
      <alignment/>
      <protection/>
    </xf>
    <xf numFmtId="193" fontId="14" fillId="0" borderId="46" xfId="0" applyNumberFormat="1" applyFont="1" applyBorder="1" applyAlignment="1" applyProtection="1">
      <alignment horizontal="right"/>
      <protection/>
    </xf>
    <xf numFmtId="193" fontId="14" fillId="0" borderId="47" xfId="0" applyNumberFormat="1" applyFont="1" applyBorder="1" applyAlignment="1" applyProtection="1">
      <alignment horizontal="right"/>
      <protection/>
    </xf>
    <xf numFmtId="181" fontId="14" fillId="0" borderId="0" xfId="0" applyNumberFormat="1" applyFont="1" applyFill="1" applyAlignment="1" applyProtection="1">
      <alignment/>
      <protection/>
    </xf>
    <xf numFmtId="181" fontId="10" fillId="0" borderId="9" xfId="0" applyNumberFormat="1" applyFont="1" applyFill="1" applyBorder="1" applyAlignment="1" applyProtection="1">
      <alignment/>
      <protection/>
    </xf>
    <xf numFmtId="181" fontId="10" fillId="0" borderId="20" xfId="0" applyNumberFormat="1" applyFont="1" applyFill="1" applyBorder="1" applyAlignment="1" applyProtection="1">
      <alignment/>
      <protection/>
    </xf>
    <xf numFmtId="181" fontId="10" fillId="0" borderId="21" xfId="0" applyNumberFormat="1" applyFont="1" applyFill="1" applyBorder="1" applyAlignment="1" applyProtection="1">
      <alignment/>
      <protection/>
    </xf>
    <xf numFmtId="181" fontId="10" fillId="0" borderId="18" xfId="0" applyNumberFormat="1" applyFont="1" applyFill="1" applyBorder="1" applyAlignment="1" applyProtection="1">
      <alignment/>
      <protection/>
    </xf>
    <xf numFmtId="181" fontId="10" fillId="0" borderId="22" xfId="0" applyNumberFormat="1" applyFont="1" applyFill="1" applyBorder="1" applyAlignment="1" applyProtection="1">
      <alignment/>
      <protection/>
    </xf>
    <xf numFmtId="181" fontId="10" fillId="0" borderId="19" xfId="0" applyNumberFormat="1" applyFont="1" applyFill="1" applyBorder="1" applyAlignment="1" applyProtection="1">
      <alignment/>
      <protection/>
    </xf>
    <xf numFmtId="181" fontId="10" fillId="0" borderId="24" xfId="0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Alignment="1" applyProtection="1">
      <alignment/>
      <protection/>
    </xf>
    <xf numFmtId="182" fontId="10" fillId="0" borderId="8" xfId="0" applyNumberFormat="1" applyFont="1" applyBorder="1" applyAlignment="1" applyProtection="1">
      <alignment/>
      <protection/>
    </xf>
    <xf numFmtId="181" fontId="10" fillId="0" borderId="9" xfId="0" applyNumberFormat="1" applyFont="1" applyBorder="1" applyAlignment="1" applyProtection="1">
      <alignment/>
      <protection/>
    </xf>
    <xf numFmtId="181" fontId="10" fillId="0" borderId="20" xfId="0" applyNumberFormat="1" applyFont="1" applyBorder="1" applyAlignment="1" applyProtection="1">
      <alignment/>
      <protection/>
    </xf>
    <xf numFmtId="181" fontId="10" fillId="0" borderId="48" xfId="0" applyNumberFormat="1" applyFont="1" applyBorder="1" applyAlignment="1" applyProtection="1">
      <alignment/>
      <protection/>
    </xf>
    <xf numFmtId="181" fontId="10" fillId="0" borderId="49" xfId="0" applyNumberFormat="1" applyFont="1" applyBorder="1" applyAlignment="1" applyProtection="1">
      <alignment/>
      <protection/>
    </xf>
    <xf numFmtId="181" fontId="10" fillId="0" borderId="50" xfId="0" applyNumberFormat="1" applyFont="1" applyBorder="1" applyAlignment="1" applyProtection="1">
      <alignment/>
      <protection/>
    </xf>
    <xf numFmtId="181" fontId="10" fillId="0" borderId="51" xfId="0" applyNumberFormat="1" applyFont="1" applyBorder="1" applyAlignment="1" applyProtection="1">
      <alignment/>
      <protection/>
    </xf>
    <xf numFmtId="181" fontId="10" fillId="0" borderId="52" xfId="0" applyNumberFormat="1" applyFont="1" applyBorder="1" applyAlignment="1" applyProtection="1">
      <alignment/>
      <protection/>
    </xf>
    <xf numFmtId="181" fontId="10" fillId="0" borderId="53" xfId="0" applyNumberFormat="1" applyFont="1" applyBorder="1" applyAlignment="1" applyProtection="1">
      <alignment/>
      <protection/>
    </xf>
    <xf numFmtId="193" fontId="10" fillId="0" borderId="54" xfId="0" applyNumberFormat="1" applyFont="1" applyBorder="1" applyAlignment="1" applyProtection="1">
      <alignment horizontal="right"/>
      <protection/>
    </xf>
    <xf numFmtId="193" fontId="10" fillId="0" borderId="55" xfId="0" applyNumberFormat="1" applyFont="1" applyBorder="1" applyAlignment="1" applyProtection="1">
      <alignment horizontal="right"/>
      <protection/>
    </xf>
    <xf numFmtId="181" fontId="14" fillId="0" borderId="56" xfId="0" applyNumberFormat="1" applyFont="1" applyBorder="1" applyAlignment="1" applyProtection="1">
      <alignment/>
      <protection/>
    </xf>
    <xf numFmtId="181" fontId="14" fillId="0" borderId="57" xfId="0" applyNumberFormat="1" applyFont="1" applyBorder="1" applyAlignment="1" applyProtection="1">
      <alignment/>
      <protection/>
    </xf>
    <xf numFmtId="181" fontId="14" fillId="0" borderId="34" xfId="0" applyNumberFormat="1" applyFont="1" applyBorder="1" applyAlignment="1" applyProtection="1">
      <alignment/>
      <protection/>
    </xf>
    <xf numFmtId="182" fontId="10" fillId="0" borderId="58" xfId="0" applyNumberFormat="1" applyFont="1" applyBorder="1" applyAlignment="1" applyProtection="1">
      <alignment/>
      <protection/>
    </xf>
    <xf numFmtId="181" fontId="10" fillId="0" borderId="56" xfId="0" applyNumberFormat="1" applyFont="1" applyBorder="1" applyAlignment="1" applyProtection="1">
      <alignment/>
      <protection/>
    </xf>
    <xf numFmtId="181" fontId="10" fillId="0" borderId="59" xfId="0" applyNumberFormat="1" applyFont="1" applyBorder="1" applyAlignment="1" applyProtection="1">
      <alignment/>
      <protection/>
    </xf>
    <xf numFmtId="181" fontId="10" fillId="0" borderId="60" xfId="0" applyNumberFormat="1" applyFont="1" applyBorder="1" applyAlignment="1" applyProtection="1">
      <alignment/>
      <protection/>
    </xf>
    <xf numFmtId="181" fontId="10" fillId="0" borderId="61" xfId="0" applyNumberFormat="1" applyFont="1" applyBorder="1" applyAlignment="1" applyProtection="1">
      <alignment/>
      <protection/>
    </xf>
    <xf numFmtId="181" fontId="10" fillId="0" borderId="62" xfId="0" applyNumberFormat="1" applyFont="1" applyBorder="1" applyAlignment="1" applyProtection="1">
      <alignment/>
      <protection/>
    </xf>
    <xf numFmtId="181" fontId="10" fillId="0" borderId="63" xfId="0" applyNumberFormat="1" applyFont="1" applyBorder="1" applyAlignment="1" applyProtection="1">
      <alignment/>
      <protection/>
    </xf>
    <xf numFmtId="193" fontId="10" fillId="0" borderId="46" xfId="0" applyNumberFormat="1" applyFont="1" applyBorder="1" applyAlignment="1" applyProtection="1">
      <alignment horizontal="right"/>
      <protection/>
    </xf>
    <xf numFmtId="193" fontId="10" fillId="0" borderId="64" xfId="0" applyNumberFormat="1" applyFont="1" applyBorder="1" applyAlignment="1" applyProtection="1">
      <alignment horizontal="right"/>
      <protection/>
    </xf>
    <xf numFmtId="181" fontId="14" fillId="0" borderId="65" xfId="0" applyNumberFormat="1" applyFont="1" applyBorder="1" applyAlignment="1" applyProtection="1">
      <alignment/>
      <protection/>
    </xf>
    <xf numFmtId="181" fontId="14" fillId="0" borderId="66" xfId="0" applyNumberFormat="1" applyFont="1" applyBorder="1" applyAlignment="1" applyProtection="1">
      <alignment/>
      <protection/>
    </xf>
    <xf numFmtId="181" fontId="14" fillId="0" borderId="67" xfId="0" applyNumberFormat="1" applyFont="1" applyBorder="1" applyAlignment="1" applyProtection="1">
      <alignment/>
      <protection/>
    </xf>
    <xf numFmtId="193" fontId="14" fillId="0" borderId="66" xfId="0" applyNumberFormat="1" applyFont="1" applyBorder="1" applyAlignment="1" applyProtection="1">
      <alignment horizontal="right"/>
      <protection/>
    </xf>
    <xf numFmtId="181" fontId="14" fillId="0" borderId="68" xfId="0" applyNumberFormat="1" applyFont="1" applyBorder="1" applyAlignment="1" applyProtection="1">
      <alignment/>
      <protection/>
    </xf>
    <xf numFmtId="181" fontId="14" fillId="0" borderId="59" xfId="0" applyNumberFormat="1" applyFont="1" applyBorder="1" applyAlignment="1" applyProtection="1">
      <alignment/>
      <protection/>
    </xf>
    <xf numFmtId="181" fontId="14" fillId="0" borderId="64" xfId="0" applyNumberFormat="1" applyFont="1" applyBorder="1" applyAlignment="1" applyProtection="1">
      <alignment/>
      <protection/>
    </xf>
    <xf numFmtId="181" fontId="14" fillId="0" borderId="46" xfId="0" applyNumberFormat="1" applyFont="1" applyBorder="1" applyAlignment="1" applyProtection="1">
      <alignment/>
      <protection/>
    </xf>
    <xf numFmtId="181" fontId="14" fillId="0" borderId="69" xfId="0" applyNumberFormat="1" applyFont="1" applyBorder="1" applyAlignment="1" applyProtection="1">
      <alignment/>
      <protection/>
    </xf>
    <xf numFmtId="193" fontId="14" fillId="0" borderId="64" xfId="0" applyNumberFormat="1" applyFont="1" applyBorder="1" applyAlignment="1" applyProtection="1">
      <alignment horizontal="right"/>
      <protection/>
    </xf>
    <xf numFmtId="0" fontId="10" fillId="0" borderId="58" xfId="0" applyFont="1" applyBorder="1" applyAlignment="1" applyProtection="1">
      <alignment vertical="top"/>
      <protection/>
    </xf>
    <xf numFmtId="181" fontId="10" fillId="0" borderId="56" xfId="0" applyNumberFormat="1" applyFont="1" applyBorder="1" applyAlignment="1" applyProtection="1">
      <alignment vertical="top"/>
      <protection/>
    </xf>
    <xf numFmtId="181" fontId="10" fillId="0" borderId="59" xfId="0" applyNumberFormat="1" applyFont="1" applyBorder="1" applyAlignment="1" applyProtection="1">
      <alignment vertical="top"/>
      <protection/>
    </xf>
    <xf numFmtId="181" fontId="10" fillId="0" borderId="60" xfId="0" applyNumberFormat="1" applyFont="1" applyBorder="1" applyAlignment="1" applyProtection="1">
      <alignment vertical="top"/>
      <protection/>
    </xf>
    <xf numFmtId="181" fontId="10" fillId="0" borderId="61" xfId="0" applyNumberFormat="1" applyFont="1" applyBorder="1" applyAlignment="1" applyProtection="1">
      <alignment vertical="top"/>
      <protection/>
    </xf>
    <xf numFmtId="181" fontId="10" fillId="0" borderId="62" xfId="0" applyNumberFormat="1" applyFont="1" applyBorder="1" applyAlignment="1" applyProtection="1">
      <alignment vertical="top"/>
      <protection/>
    </xf>
    <xf numFmtId="0" fontId="19" fillId="0" borderId="70" xfId="0" applyFont="1" applyBorder="1" applyAlignment="1" applyProtection="1">
      <alignment/>
      <protection/>
    </xf>
    <xf numFmtId="181" fontId="14" fillId="0" borderId="71" xfId="0" applyNumberFormat="1" applyFont="1" applyBorder="1" applyAlignment="1" applyProtection="1">
      <alignment vertical="top"/>
      <protection/>
    </xf>
    <xf numFmtId="181" fontId="14" fillId="0" borderId="72" xfId="0" applyNumberFormat="1" applyFont="1" applyBorder="1" applyAlignment="1" applyProtection="1">
      <alignment/>
      <protection/>
    </xf>
    <xf numFmtId="181" fontId="10" fillId="0" borderId="73" xfId="0" applyNumberFormat="1" applyFont="1" applyBorder="1" applyAlignment="1" applyProtection="1">
      <alignment/>
      <protection/>
    </xf>
    <xf numFmtId="181" fontId="10" fillId="0" borderId="74" xfId="0" applyNumberFormat="1" applyFont="1" applyBorder="1" applyAlignment="1" applyProtection="1">
      <alignment/>
      <protection/>
    </xf>
    <xf numFmtId="181" fontId="10" fillId="0" borderId="75" xfId="0" applyNumberFormat="1" applyFont="1" applyBorder="1" applyAlignment="1" applyProtection="1">
      <alignment/>
      <protection/>
    </xf>
    <xf numFmtId="181" fontId="10" fillId="0" borderId="76" xfId="0" applyNumberFormat="1" applyFont="1" applyBorder="1" applyAlignment="1" applyProtection="1">
      <alignment/>
      <protection/>
    </xf>
    <xf numFmtId="181" fontId="10" fillId="0" borderId="77" xfId="0" applyNumberFormat="1" applyFont="1" applyBorder="1" applyAlignment="1" applyProtection="1">
      <alignment/>
      <protection/>
    </xf>
    <xf numFmtId="181" fontId="10" fillId="0" borderId="78" xfId="0" applyNumberFormat="1" applyFont="1" applyBorder="1" applyAlignment="1" applyProtection="1">
      <alignment/>
      <protection/>
    </xf>
    <xf numFmtId="181" fontId="10" fillId="0" borderId="79" xfId="0" applyNumberFormat="1" applyFont="1" applyBorder="1" applyAlignment="1" applyProtection="1">
      <alignment/>
      <protection/>
    </xf>
    <xf numFmtId="181" fontId="10" fillId="0" borderId="80" xfId="0" applyNumberFormat="1" applyFont="1" applyBorder="1" applyAlignment="1" applyProtection="1">
      <alignment/>
      <protection/>
    </xf>
    <xf numFmtId="193" fontId="10" fillId="0" borderId="81" xfId="0" applyNumberFormat="1" applyFont="1" applyBorder="1" applyAlignment="1" applyProtection="1">
      <alignment horizontal="right"/>
      <protection/>
    </xf>
    <xf numFmtId="193" fontId="10" fillId="0" borderId="77" xfId="0" applyNumberFormat="1" applyFont="1" applyBorder="1" applyAlignment="1" applyProtection="1">
      <alignment horizontal="right"/>
      <protection/>
    </xf>
    <xf numFmtId="182" fontId="10" fillId="0" borderId="0" xfId="0" applyNumberFormat="1" applyFont="1" applyFill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182" fontId="10" fillId="0" borderId="2" xfId="0" applyNumberFormat="1" applyFont="1" applyFill="1" applyBorder="1" applyAlignment="1" applyProtection="1">
      <alignment/>
      <protection/>
    </xf>
    <xf numFmtId="181" fontId="10" fillId="0" borderId="82" xfId="0" applyNumberFormat="1" applyFont="1" applyFill="1" applyBorder="1" applyAlignment="1" applyProtection="1">
      <alignment horizontal="centerContinuous"/>
      <protection/>
    </xf>
    <xf numFmtId="181" fontId="10" fillId="0" borderId="83" xfId="0" applyNumberFormat="1" applyFont="1" applyFill="1" applyBorder="1" applyAlignment="1" applyProtection="1" quotePrefix="1">
      <alignment horizontal="centerContinuous"/>
      <protection/>
    </xf>
    <xf numFmtId="181" fontId="10" fillId="0" borderId="84" xfId="0" applyNumberFormat="1" applyFont="1" applyFill="1" applyBorder="1" applyAlignment="1" applyProtection="1" quotePrefix="1">
      <alignment horizontal="centerContinuous"/>
      <protection/>
    </xf>
    <xf numFmtId="181" fontId="10" fillId="0" borderId="85" xfId="0" applyNumberFormat="1" applyFont="1" applyFill="1" applyBorder="1" applyAlignment="1" applyProtection="1" quotePrefix="1">
      <alignment horizontal="centerContinuous"/>
      <protection/>
    </xf>
    <xf numFmtId="181" fontId="10" fillId="0" borderId="86" xfId="0" applyNumberFormat="1" applyFont="1" applyFill="1" applyBorder="1" applyAlignment="1" applyProtection="1" quotePrefix="1">
      <alignment horizontal="centerContinuous"/>
      <protection/>
    </xf>
    <xf numFmtId="181" fontId="10" fillId="0" borderId="87" xfId="0" applyNumberFormat="1" applyFont="1" applyFill="1" applyBorder="1" applyAlignment="1" applyProtection="1" quotePrefix="1">
      <alignment horizontal="centerContinuous"/>
      <protection/>
    </xf>
    <xf numFmtId="181" fontId="10" fillId="0" borderId="88" xfId="0" applyNumberFormat="1" applyFont="1" applyFill="1" applyBorder="1" applyAlignment="1" applyProtection="1" quotePrefix="1">
      <alignment horizontal="centerContinuous"/>
      <protection/>
    </xf>
    <xf numFmtId="181" fontId="10" fillId="0" borderId="89" xfId="0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 applyProtection="1">
      <alignment horizontal="centerContinuous"/>
      <protection/>
    </xf>
    <xf numFmtId="181" fontId="10" fillId="0" borderId="18" xfId="0" applyNumberFormat="1" applyFont="1" applyFill="1" applyBorder="1" applyAlignment="1" applyProtection="1">
      <alignment horizontal="center"/>
      <protection/>
    </xf>
    <xf numFmtId="181" fontId="10" fillId="0" borderId="22" xfId="0" applyNumberFormat="1" applyFont="1" applyFill="1" applyBorder="1" applyAlignment="1" applyProtection="1">
      <alignment horizontal="center"/>
      <protection/>
    </xf>
    <xf numFmtId="181" fontId="10" fillId="2" borderId="19" xfId="0" applyNumberFormat="1" applyFont="1" applyFill="1" applyBorder="1" applyAlignment="1" applyProtection="1">
      <alignment horizontal="center"/>
      <protection/>
    </xf>
    <xf numFmtId="181" fontId="10" fillId="2" borderId="20" xfId="0" applyNumberFormat="1" applyFont="1" applyFill="1" applyBorder="1" applyAlignment="1" applyProtection="1">
      <alignment horizontal="center"/>
      <protection/>
    </xf>
    <xf numFmtId="181" fontId="10" fillId="2" borderId="24" xfId="0" applyNumberFormat="1" applyFont="1" applyFill="1" applyBorder="1" applyAlignment="1" applyProtection="1">
      <alignment/>
      <protection/>
    </xf>
    <xf numFmtId="182" fontId="10" fillId="0" borderId="13" xfId="0" applyNumberFormat="1" applyFont="1" applyFill="1" applyBorder="1" applyAlignment="1" applyProtection="1">
      <alignment/>
      <protection/>
    </xf>
    <xf numFmtId="181" fontId="14" fillId="3" borderId="31" xfId="0" applyNumberFormat="1" applyFont="1" applyFill="1" applyBorder="1" applyAlignment="1" applyProtection="1">
      <alignment/>
      <protection/>
    </xf>
    <xf numFmtId="180" fontId="12" fillId="0" borderId="90" xfId="0" applyNumberFormat="1" applyFont="1" applyFill="1" applyBorder="1" applyAlignment="1" applyProtection="1" quotePrefix="1">
      <alignment horizontal="center"/>
      <protection/>
    </xf>
    <xf numFmtId="180" fontId="12" fillId="2" borderId="31" xfId="0" applyNumberFormat="1" applyFont="1" applyFill="1" applyBorder="1" applyAlignment="1" applyProtection="1" quotePrefix="1">
      <alignment horizontal="center"/>
      <protection/>
    </xf>
    <xf numFmtId="180" fontId="12" fillId="2" borderId="27" xfId="0" applyNumberFormat="1" applyFont="1" applyFill="1" applyBorder="1" applyAlignment="1" applyProtection="1" quotePrefix="1">
      <alignment horizontal="center"/>
      <protection/>
    </xf>
    <xf numFmtId="181" fontId="10" fillId="2" borderId="32" xfId="0" applyNumberFormat="1" applyFont="1" applyFill="1" applyBorder="1" applyAlignment="1" applyProtection="1">
      <alignment/>
      <protection/>
    </xf>
    <xf numFmtId="181" fontId="15" fillId="0" borderId="18" xfId="0" applyNumberFormat="1" applyFont="1" applyFill="1" applyBorder="1" applyAlignment="1" applyProtection="1">
      <alignment horizontal="right"/>
      <protection/>
    </xf>
    <xf numFmtId="181" fontId="15" fillId="0" borderId="22" xfId="0" applyNumberFormat="1" applyFont="1" applyFill="1" applyBorder="1" applyAlignment="1" applyProtection="1">
      <alignment horizontal="right"/>
      <protection/>
    </xf>
    <xf numFmtId="181" fontId="15" fillId="2" borderId="19" xfId="0" applyNumberFormat="1" applyFont="1" applyFill="1" applyBorder="1" applyAlignment="1" applyProtection="1">
      <alignment horizontal="right"/>
      <protection/>
    </xf>
    <xf numFmtId="181" fontId="15" fillId="2" borderId="20" xfId="0" applyNumberFormat="1" applyFont="1" applyFill="1" applyBorder="1" applyAlignment="1" applyProtection="1">
      <alignment horizontal="right"/>
      <protection/>
    </xf>
    <xf numFmtId="181" fontId="14" fillId="2" borderId="24" xfId="0" applyNumberFormat="1" applyFont="1" applyFill="1" applyBorder="1" applyAlignment="1" applyProtection="1">
      <alignment/>
      <protection/>
    </xf>
    <xf numFmtId="181" fontId="14" fillId="0" borderId="91" xfId="0" applyNumberFormat="1" applyFont="1" applyFill="1" applyBorder="1" applyAlignment="1" applyProtection="1" quotePrefix="1">
      <alignment horizontal="right"/>
      <protection/>
    </xf>
    <xf numFmtId="181" fontId="14" fillId="2" borderId="19" xfId="0" applyNumberFormat="1" applyFont="1" applyFill="1" applyBorder="1" applyAlignment="1" applyProtection="1" quotePrefix="1">
      <alignment horizontal="right"/>
      <protection/>
    </xf>
    <xf numFmtId="181" fontId="14" fillId="2" borderId="20" xfId="0" applyNumberFormat="1" applyFont="1" applyFill="1" applyBorder="1" applyAlignment="1" applyProtection="1" quotePrefix="1">
      <alignment horizontal="right"/>
      <protection/>
    </xf>
    <xf numFmtId="181" fontId="14" fillId="0" borderId="92" xfId="0" applyNumberFormat="1" applyFont="1" applyFill="1" applyBorder="1" applyAlignment="1" applyProtection="1">
      <alignment/>
      <protection/>
    </xf>
    <xf numFmtId="181" fontId="14" fillId="2" borderId="93" xfId="0" applyNumberFormat="1" applyFont="1" applyFill="1" applyBorder="1" applyAlignment="1" applyProtection="1">
      <alignment/>
      <protection/>
    </xf>
    <xf numFmtId="181" fontId="14" fillId="2" borderId="94" xfId="0" applyNumberFormat="1" applyFont="1" applyFill="1" applyBorder="1" applyAlignment="1" applyProtection="1">
      <alignment/>
      <protection/>
    </xf>
    <xf numFmtId="182" fontId="19" fillId="0" borderId="95" xfId="0" applyNumberFormat="1" applyFont="1" applyBorder="1" applyAlignment="1" applyProtection="1">
      <alignment/>
      <protection/>
    </xf>
    <xf numFmtId="181" fontId="14" fillId="0" borderId="96" xfId="0" applyNumberFormat="1" applyFont="1" applyFill="1" applyBorder="1" applyAlignment="1" applyProtection="1">
      <alignment/>
      <protection/>
    </xf>
    <xf numFmtId="181" fontId="10" fillId="0" borderId="97" xfId="0" applyNumberFormat="1" applyFont="1" applyFill="1" applyBorder="1" applyAlignment="1" applyProtection="1">
      <alignment/>
      <protection/>
    </xf>
    <xf numFmtId="181" fontId="10" fillId="0" borderId="98" xfId="0" applyNumberFormat="1" applyFont="1" applyFill="1" applyBorder="1" applyAlignment="1" applyProtection="1">
      <alignment/>
      <protection/>
    </xf>
    <xf numFmtId="181" fontId="10" fillId="2" borderId="99" xfId="0" applyNumberFormat="1" applyFont="1" applyFill="1" applyBorder="1" applyAlignment="1" applyProtection="1">
      <alignment/>
      <protection/>
    </xf>
    <xf numFmtId="181" fontId="10" fillId="2" borderId="100" xfId="0" applyNumberFormat="1" applyFont="1" applyFill="1" applyBorder="1" applyAlignment="1" applyProtection="1">
      <alignment/>
      <protection/>
    </xf>
    <xf numFmtId="181" fontId="14" fillId="2" borderId="101" xfId="0" applyNumberFormat="1" applyFont="1" applyFill="1" applyBorder="1" applyAlignment="1" applyProtection="1">
      <alignment/>
      <protection/>
    </xf>
    <xf numFmtId="181" fontId="10" fillId="0" borderId="32" xfId="0" applyNumberFormat="1" applyFont="1" applyFill="1" applyBorder="1" applyAlignment="1" applyProtection="1">
      <alignment/>
      <protection/>
    </xf>
    <xf numFmtId="181" fontId="14" fillId="0" borderId="24" xfId="0" applyNumberFormat="1" applyFont="1" applyFill="1" applyBorder="1" applyAlignment="1" applyProtection="1">
      <alignment/>
      <protection/>
    </xf>
    <xf numFmtId="181" fontId="15" fillId="0" borderId="9" xfId="0" applyNumberFormat="1" applyFont="1" applyFill="1" applyBorder="1" applyAlignment="1" applyProtection="1">
      <alignment horizontal="right"/>
      <protection/>
    </xf>
    <xf numFmtId="181" fontId="15" fillId="0" borderId="19" xfId="0" applyNumberFormat="1" applyFont="1" applyFill="1" applyBorder="1" applyAlignment="1" applyProtection="1">
      <alignment horizontal="right"/>
      <protection/>
    </xf>
    <xf numFmtId="181" fontId="15" fillId="0" borderId="20" xfId="0" applyNumberFormat="1" applyFont="1" applyFill="1" applyBorder="1" applyAlignment="1" applyProtection="1">
      <alignment horizontal="right"/>
      <protection/>
    </xf>
    <xf numFmtId="181" fontId="15" fillId="0" borderId="0" xfId="0" applyNumberFormat="1" applyFont="1" applyFill="1" applyBorder="1" applyAlignment="1" applyProtection="1">
      <alignment horizontal="right"/>
      <protection/>
    </xf>
    <xf numFmtId="181" fontId="10" fillId="0" borderId="102" xfId="0" applyNumberFormat="1" applyFont="1" applyFill="1" applyBorder="1" applyAlignment="1" applyProtection="1">
      <alignment horizontal="right"/>
      <protection/>
    </xf>
    <xf numFmtId="181" fontId="10" fillId="0" borderId="103" xfId="0" applyNumberFormat="1" applyFont="1" applyFill="1" applyBorder="1" applyAlignment="1" applyProtection="1">
      <alignment horizontal="right"/>
      <protection/>
    </xf>
    <xf numFmtId="181" fontId="10" fillId="0" borderId="59" xfId="0" applyNumberFormat="1" applyFont="1" applyFill="1" applyBorder="1" applyAlignment="1" applyProtection="1">
      <alignment horizontal="right"/>
      <protection/>
    </xf>
    <xf numFmtId="181" fontId="10" fillId="0" borderId="61" xfId="0" applyNumberFormat="1" applyFont="1" applyFill="1" applyBorder="1" applyAlignment="1" applyProtection="1">
      <alignment horizontal="right"/>
      <protection/>
    </xf>
    <xf numFmtId="181" fontId="10" fillId="0" borderId="62" xfId="0" applyNumberFormat="1" applyFont="1" applyFill="1" applyBorder="1" applyAlignment="1" applyProtection="1">
      <alignment horizontal="right"/>
      <protection/>
    </xf>
    <xf numFmtId="181" fontId="14" fillId="0" borderId="67" xfId="0" applyNumberFormat="1" applyFont="1" applyFill="1" applyBorder="1" applyAlignment="1" applyProtection="1" quotePrefix="1">
      <alignment horizontal="right"/>
      <protection/>
    </xf>
    <xf numFmtId="181" fontId="14" fillId="0" borderId="68" xfId="0" applyNumberFormat="1" applyFont="1" applyFill="1" applyBorder="1" applyAlignment="1" applyProtection="1" quotePrefix="1">
      <alignment horizontal="right"/>
      <protection/>
    </xf>
    <xf numFmtId="181" fontId="14" fillId="0" borderId="69" xfId="0" applyNumberFormat="1" applyFont="1" applyFill="1" applyBorder="1" applyAlignment="1" applyProtection="1" quotePrefix="1">
      <alignment horizontal="right"/>
      <protection/>
    </xf>
    <xf numFmtId="181" fontId="14" fillId="0" borderId="56" xfId="0" applyNumberFormat="1" applyFont="1" applyFill="1" applyBorder="1" applyAlignment="1" applyProtection="1" quotePrefix="1">
      <alignment horizontal="right"/>
      <protection/>
    </xf>
    <xf numFmtId="181" fontId="10" fillId="0" borderId="8" xfId="0" applyNumberFormat="1" applyFont="1" applyFill="1" applyBorder="1" applyAlignment="1" applyProtection="1">
      <alignment horizontal="left" indent="1"/>
      <protection/>
    </xf>
    <xf numFmtId="181" fontId="10" fillId="0" borderId="56" xfId="0" applyNumberFormat="1" applyFont="1" applyFill="1" applyBorder="1" applyAlignment="1" applyProtection="1" quotePrefix="1">
      <alignment horizontal="right"/>
      <protection/>
    </xf>
    <xf numFmtId="181" fontId="10" fillId="0" borderId="57" xfId="0" applyNumberFormat="1" applyFont="1" applyFill="1" applyBorder="1" applyAlignment="1" applyProtection="1" quotePrefix="1">
      <alignment horizontal="right"/>
      <protection/>
    </xf>
    <xf numFmtId="181" fontId="10" fillId="0" borderId="104" xfId="0" applyNumberFormat="1" applyFont="1" applyFill="1" applyBorder="1" applyAlignment="1" applyProtection="1" quotePrefix="1">
      <alignment horizontal="right"/>
      <protection/>
    </xf>
    <xf numFmtId="181" fontId="10" fillId="0" borderId="0" xfId="0" applyNumberFormat="1" applyFont="1" applyFill="1" applyBorder="1" applyAlignment="1" applyProtection="1" quotePrefix="1">
      <alignment horizontal="right"/>
      <protection/>
    </xf>
    <xf numFmtId="181" fontId="14" fillId="0" borderId="8" xfId="0" applyNumberFormat="1" applyFont="1" applyFill="1" applyBorder="1" applyAlignment="1" applyProtection="1">
      <alignment horizontal="left" indent="2"/>
      <protection/>
    </xf>
    <xf numFmtId="181" fontId="14" fillId="0" borderId="105" xfId="0" applyNumberFormat="1" applyFont="1" applyFill="1" applyBorder="1" applyAlignment="1" applyProtection="1" quotePrefix="1">
      <alignment horizontal="right"/>
      <protection/>
    </xf>
    <xf numFmtId="181" fontId="14" fillId="0" borderId="102" xfId="0" applyNumberFormat="1" applyFont="1" applyFill="1" applyBorder="1" applyAlignment="1" applyProtection="1" quotePrefix="1">
      <alignment horizontal="right"/>
      <protection/>
    </xf>
    <xf numFmtId="181" fontId="10" fillId="0" borderId="106" xfId="0" applyNumberFormat="1" applyFont="1" applyFill="1" applyBorder="1" applyAlignment="1" applyProtection="1">
      <alignment/>
      <protection/>
    </xf>
    <xf numFmtId="181" fontId="14" fillId="0" borderId="107" xfId="0" applyNumberFormat="1" applyFont="1" applyFill="1" applyBorder="1" applyAlignment="1" applyProtection="1">
      <alignment/>
      <protection/>
    </xf>
    <xf numFmtId="181" fontId="14" fillId="0" borderId="108" xfId="0" applyNumberFormat="1" applyFont="1" applyFill="1" applyBorder="1" applyAlignment="1" applyProtection="1">
      <alignment/>
      <protection/>
    </xf>
    <xf numFmtId="181" fontId="14" fillId="0" borderId="106" xfId="0" applyNumberFormat="1" applyFont="1" applyFill="1" applyBorder="1" applyAlignment="1" applyProtection="1">
      <alignment/>
      <protection/>
    </xf>
    <xf numFmtId="181" fontId="10" fillId="0" borderId="109" xfId="0" applyNumberFormat="1" applyFont="1" applyFill="1" applyBorder="1" applyAlignment="1" applyProtection="1" quotePrefix="1">
      <alignment horizontal="right"/>
      <protection/>
    </xf>
    <xf numFmtId="181" fontId="10" fillId="0" borderId="110" xfId="0" applyNumberFormat="1" applyFont="1" applyFill="1" applyBorder="1" applyAlignment="1" applyProtection="1" quotePrefix="1">
      <alignment horizontal="right"/>
      <protection/>
    </xf>
    <xf numFmtId="181" fontId="10" fillId="0" borderId="111" xfId="0" applyNumberFormat="1" applyFont="1" applyFill="1" applyBorder="1" applyAlignment="1" applyProtection="1" quotePrefix="1">
      <alignment horizontal="right"/>
      <protection/>
    </xf>
    <xf numFmtId="181" fontId="10" fillId="0" borderId="107" xfId="0" applyNumberFormat="1" applyFont="1" applyFill="1" applyBorder="1" applyAlignment="1" applyProtection="1" quotePrefix="1">
      <alignment horizontal="right"/>
      <protection/>
    </xf>
    <xf numFmtId="181" fontId="10" fillId="0" borderId="0" xfId="0" applyNumberFormat="1" applyFont="1" applyFill="1" applyBorder="1" applyAlignment="1" applyProtection="1">
      <alignment/>
      <protection/>
    </xf>
    <xf numFmtId="181" fontId="9" fillId="0" borderId="0" xfId="0" applyNumberFormat="1" applyFont="1" applyFill="1" applyBorder="1" applyAlignment="1" applyProtection="1">
      <alignment horizontal="right"/>
      <protection/>
    </xf>
    <xf numFmtId="182" fontId="16" fillId="0" borderId="0" xfId="0" applyNumberFormat="1" applyFont="1" applyFill="1" applyAlignment="1" applyProtection="1">
      <alignment horizontal="centerContinuous"/>
      <protection/>
    </xf>
    <xf numFmtId="182" fontId="11" fillId="0" borderId="8" xfId="0" applyNumberFormat="1" applyFont="1" applyBorder="1" applyAlignment="1" applyProtection="1">
      <alignment/>
      <protection/>
    </xf>
    <xf numFmtId="181" fontId="11" fillId="0" borderId="9" xfId="0" applyNumberFormat="1" applyFont="1" applyBorder="1" applyAlignment="1" applyProtection="1">
      <alignment/>
      <protection/>
    </xf>
    <xf numFmtId="182" fontId="18" fillId="0" borderId="8" xfId="0" applyNumberFormat="1" applyFont="1" applyFill="1" applyBorder="1" applyAlignment="1" applyProtection="1">
      <alignment/>
      <protection/>
    </xf>
    <xf numFmtId="181" fontId="14" fillId="0" borderId="9" xfId="0" applyNumberFormat="1" applyFont="1" applyFill="1" applyBorder="1" applyAlignment="1" applyProtection="1">
      <alignment/>
      <protection/>
    </xf>
    <xf numFmtId="181" fontId="14" fillId="0" borderId="20" xfId="0" applyNumberFormat="1" applyFont="1" applyFill="1" applyBorder="1" applyAlignment="1" applyProtection="1">
      <alignment/>
      <protection/>
    </xf>
    <xf numFmtId="181" fontId="14" fillId="0" borderId="21" xfId="0" applyNumberFormat="1" applyFont="1" applyFill="1" applyBorder="1" applyAlignment="1" applyProtection="1">
      <alignment/>
      <protection/>
    </xf>
    <xf numFmtId="181" fontId="14" fillId="0" borderId="18" xfId="0" applyNumberFormat="1" applyFont="1" applyFill="1" applyBorder="1" applyAlignment="1" applyProtection="1">
      <alignment/>
      <protection/>
    </xf>
    <xf numFmtId="181" fontId="14" fillId="0" borderId="22" xfId="0" applyNumberFormat="1" applyFont="1" applyFill="1" applyBorder="1" applyAlignment="1" applyProtection="1">
      <alignment/>
      <protection/>
    </xf>
    <xf numFmtId="181" fontId="14" fillId="0" borderId="19" xfId="0" applyNumberFormat="1" applyFont="1" applyFill="1" applyBorder="1" applyAlignment="1" applyProtection="1">
      <alignment/>
      <protection/>
    </xf>
    <xf numFmtId="193" fontId="14" fillId="0" borderId="18" xfId="0" applyNumberFormat="1" applyFont="1" applyFill="1" applyBorder="1" applyAlignment="1" applyProtection="1">
      <alignment/>
      <protection/>
    </xf>
    <xf numFmtId="193" fontId="14" fillId="0" borderId="19" xfId="0" applyNumberFormat="1" applyFont="1" applyFill="1" applyBorder="1" applyAlignment="1" applyProtection="1">
      <alignment/>
      <protection/>
    </xf>
    <xf numFmtId="181" fontId="10" fillId="0" borderId="27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81" fontId="10" fillId="0" borderId="112" xfId="0" applyNumberFormat="1" applyFont="1" applyFill="1" applyBorder="1" applyAlignment="1" applyProtection="1">
      <alignment/>
      <protection/>
    </xf>
    <xf numFmtId="181" fontId="10" fillId="0" borderId="52" xfId="0" applyNumberFormat="1" applyFont="1" applyFill="1" applyBorder="1" applyAlignment="1" applyProtection="1">
      <alignment/>
      <protection/>
    </xf>
    <xf numFmtId="181" fontId="10" fillId="0" borderId="48" xfId="0" applyNumberFormat="1" applyFont="1" applyFill="1" applyBorder="1" applyAlignment="1" applyProtection="1">
      <alignment/>
      <protection/>
    </xf>
    <xf numFmtId="181" fontId="10" fillId="0" borderId="50" xfId="0" applyNumberFormat="1" applyFont="1" applyFill="1" applyBorder="1" applyAlignment="1" applyProtection="1">
      <alignment/>
      <protection/>
    </xf>
    <xf numFmtId="181" fontId="10" fillId="0" borderId="51" xfId="0" applyNumberFormat="1" applyFont="1" applyFill="1" applyBorder="1" applyAlignment="1" applyProtection="1">
      <alignment/>
      <protection/>
    </xf>
    <xf numFmtId="181" fontId="10" fillId="0" borderId="49" xfId="0" applyNumberFormat="1" applyFont="1" applyFill="1" applyBorder="1" applyAlignment="1" applyProtection="1">
      <alignment/>
      <protection/>
    </xf>
    <xf numFmtId="181" fontId="10" fillId="0" borderId="53" xfId="0" applyNumberFormat="1" applyFont="1" applyFill="1" applyBorder="1" applyAlignment="1" applyProtection="1">
      <alignment/>
      <protection/>
    </xf>
    <xf numFmtId="193" fontId="10" fillId="0" borderId="113" xfId="0" applyNumberFormat="1" applyFont="1" applyBorder="1" applyAlignment="1" applyProtection="1">
      <alignment horizontal="right"/>
      <protection/>
    </xf>
    <xf numFmtId="193" fontId="10" fillId="0" borderId="114" xfId="0" applyNumberFormat="1" applyFont="1" applyBorder="1" applyAlignment="1" applyProtection="1">
      <alignment horizontal="right"/>
      <protection/>
    </xf>
    <xf numFmtId="181" fontId="14" fillId="0" borderId="22" xfId="0" applyNumberFormat="1" applyFont="1" applyFill="1" applyBorder="1" applyAlignment="1" applyProtection="1" quotePrefix="1">
      <alignment/>
      <protection/>
    </xf>
    <xf numFmtId="181" fontId="14" fillId="0" borderId="115" xfId="0" applyNumberFormat="1" applyFont="1" applyFill="1" applyBorder="1" applyAlignment="1" applyProtection="1">
      <alignment/>
      <protection/>
    </xf>
    <xf numFmtId="181" fontId="14" fillId="0" borderId="116" xfId="0" applyNumberFormat="1" applyFont="1" applyFill="1" applyBorder="1" applyAlignment="1" applyProtection="1">
      <alignment/>
      <protection/>
    </xf>
    <xf numFmtId="181" fontId="14" fillId="0" borderId="117" xfId="0" applyNumberFormat="1" applyFont="1" applyFill="1" applyBorder="1" applyAlignment="1" applyProtection="1">
      <alignment/>
      <protection/>
    </xf>
    <xf numFmtId="193" fontId="14" fillId="0" borderId="118" xfId="0" applyNumberFormat="1" applyFont="1" applyBorder="1" applyAlignment="1" applyProtection="1">
      <alignment horizontal="right"/>
      <protection/>
    </xf>
    <xf numFmtId="181" fontId="14" fillId="0" borderId="119" xfId="0" applyNumberFormat="1" applyFont="1" applyFill="1" applyBorder="1" applyAlignment="1" applyProtection="1">
      <alignment/>
      <protection/>
    </xf>
    <xf numFmtId="181" fontId="14" fillId="0" borderId="36" xfId="0" applyNumberFormat="1" applyFont="1" applyFill="1" applyBorder="1" applyAlignment="1" applyProtection="1">
      <alignment/>
      <protection/>
    </xf>
    <xf numFmtId="181" fontId="14" fillId="0" borderId="37" xfId="0" applyNumberFormat="1" applyFont="1" applyFill="1" applyBorder="1" applyAlignment="1" applyProtection="1">
      <alignment/>
      <protection/>
    </xf>
    <xf numFmtId="181" fontId="14" fillId="0" borderId="38" xfId="0" applyNumberFormat="1" applyFont="1" applyFill="1" applyBorder="1" applyAlignment="1" applyProtection="1">
      <alignment/>
      <protection/>
    </xf>
    <xf numFmtId="181" fontId="14" fillId="0" borderId="120" xfId="0" applyNumberFormat="1" applyFont="1" applyFill="1" applyBorder="1" applyAlignment="1" applyProtection="1">
      <alignment/>
      <protection/>
    </xf>
    <xf numFmtId="193" fontId="14" fillId="0" borderId="121" xfId="0" applyNumberFormat="1" applyFont="1" applyBorder="1" applyAlignment="1" applyProtection="1">
      <alignment horizontal="right"/>
      <protection/>
    </xf>
    <xf numFmtId="181" fontId="14" fillId="0" borderId="122" xfId="0" applyNumberFormat="1" applyFont="1" applyFill="1" applyBorder="1" applyAlignment="1" applyProtection="1">
      <alignment/>
      <protection/>
    </xf>
    <xf numFmtId="181" fontId="14" fillId="0" borderId="45" xfId="0" applyNumberFormat="1" applyFont="1" applyFill="1" applyBorder="1" applyAlignment="1" applyProtection="1">
      <alignment/>
      <protection/>
    </xf>
    <xf numFmtId="181" fontId="10" fillId="0" borderId="30" xfId="0" applyNumberFormat="1" applyFont="1" applyFill="1" applyBorder="1" applyAlignment="1" applyProtection="1">
      <alignment/>
      <protection/>
    </xf>
    <xf numFmtId="181" fontId="10" fillId="0" borderId="26" xfId="0" applyNumberFormat="1" applyFont="1" applyFill="1" applyBorder="1" applyAlignment="1" applyProtection="1">
      <alignment/>
      <protection/>
    </xf>
    <xf numFmtId="181" fontId="10" fillId="0" borderId="31" xfId="0" applyNumberFormat="1" applyFont="1" applyFill="1" applyBorder="1" applyAlignment="1" applyProtection="1">
      <alignment/>
      <protection/>
    </xf>
    <xf numFmtId="181" fontId="10" fillId="0" borderId="28" xfId="0" applyNumberFormat="1" applyFont="1" applyFill="1" applyBorder="1" applyAlignment="1" applyProtection="1">
      <alignment/>
      <protection/>
    </xf>
    <xf numFmtId="181" fontId="10" fillId="0" borderId="29" xfId="0" applyNumberFormat="1" applyFont="1" applyFill="1" applyBorder="1" applyAlignment="1" applyProtection="1">
      <alignment/>
      <protection/>
    </xf>
    <xf numFmtId="181" fontId="14" fillId="0" borderId="123" xfId="0" applyNumberFormat="1" applyFont="1" applyFill="1" applyBorder="1" applyAlignment="1" applyProtection="1">
      <alignment/>
      <protection/>
    </xf>
    <xf numFmtId="193" fontId="14" fillId="0" borderId="124" xfId="0" applyNumberFormat="1" applyFont="1" applyBorder="1" applyAlignment="1" applyProtection="1">
      <alignment horizontal="right"/>
      <protection/>
    </xf>
    <xf numFmtId="193" fontId="14" fillId="0" borderId="125" xfId="0" applyNumberFormat="1" applyFont="1" applyBorder="1" applyAlignment="1" applyProtection="1">
      <alignment horizontal="right"/>
      <protection/>
    </xf>
    <xf numFmtId="193" fontId="10" fillId="0" borderId="126" xfId="0" applyNumberFormat="1" applyFont="1" applyBorder="1" applyAlignment="1" applyProtection="1">
      <alignment horizontal="right"/>
      <protection/>
    </xf>
    <xf numFmtId="193" fontId="10" fillId="0" borderId="127" xfId="0" applyNumberFormat="1" applyFont="1" applyBorder="1" applyAlignment="1" applyProtection="1">
      <alignment horizontal="right"/>
      <protection/>
    </xf>
    <xf numFmtId="181" fontId="10" fillId="0" borderId="128" xfId="0" applyNumberFormat="1" applyFont="1" applyFill="1" applyBorder="1" applyAlignment="1" applyProtection="1">
      <alignment/>
      <protection/>
    </xf>
    <xf numFmtId="181" fontId="10" fillId="0" borderId="129" xfId="0" applyNumberFormat="1" applyFont="1" applyFill="1" applyBorder="1" applyAlignment="1" applyProtection="1">
      <alignment/>
      <protection/>
    </xf>
    <xf numFmtId="181" fontId="10" fillId="0" borderId="11" xfId="0" applyNumberFormat="1" applyFont="1" applyFill="1" applyBorder="1" applyAlignment="1" applyProtection="1">
      <alignment/>
      <protection/>
    </xf>
    <xf numFmtId="182" fontId="19" fillId="0" borderId="95" xfId="0" applyNumberFormat="1" applyFont="1" applyFill="1" applyBorder="1" applyAlignment="1" applyProtection="1">
      <alignment/>
      <protection/>
    </xf>
    <xf numFmtId="181" fontId="10" fillId="0" borderId="130" xfId="0" applyNumberFormat="1" applyFont="1" applyFill="1" applyBorder="1" applyAlignment="1" applyProtection="1">
      <alignment/>
      <protection/>
    </xf>
    <xf numFmtId="181" fontId="10" fillId="0" borderId="131" xfId="0" applyNumberFormat="1" applyFont="1" applyFill="1" applyBorder="1" applyAlignment="1" applyProtection="1">
      <alignment/>
      <protection/>
    </xf>
    <xf numFmtId="181" fontId="10" fillId="0" borderId="132" xfId="0" applyNumberFormat="1" applyFont="1" applyFill="1" applyBorder="1" applyAlignment="1" applyProtection="1">
      <alignment/>
      <protection/>
    </xf>
    <xf numFmtId="181" fontId="10" fillId="0" borderId="133" xfId="0" applyNumberFormat="1" applyFont="1" applyFill="1" applyBorder="1" applyAlignment="1" applyProtection="1">
      <alignment/>
      <protection/>
    </xf>
    <xf numFmtId="181" fontId="10" fillId="0" borderId="134" xfId="0" applyNumberFormat="1" applyFont="1" applyFill="1" applyBorder="1" applyAlignment="1" applyProtection="1">
      <alignment/>
      <protection/>
    </xf>
    <xf numFmtId="181" fontId="10" fillId="0" borderId="135" xfId="0" applyNumberFormat="1" applyFont="1" applyFill="1" applyBorder="1" applyAlignment="1" applyProtection="1">
      <alignment/>
      <protection/>
    </xf>
    <xf numFmtId="181" fontId="10" fillId="0" borderId="136" xfId="0" applyNumberFormat="1" applyFont="1" applyFill="1" applyBorder="1" applyAlignment="1" applyProtection="1">
      <alignment/>
      <protection/>
    </xf>
    <xf numFmtId="181" fontId="10" fillId="0" borderId="108" xfId="0" applyNumberFormat="1" applyFont="1" applyFill="1" applyBorder="1" applyAlignment="1" applyProtection="1">
      <alignment/>
      <protection/>
    </xf>
    <xf numFmtId="193" fontId="10" fillId="0" borderId="137" xfId="0" applyNumberFormat="1" applyFont="1" applyBorder="1" applyAlignment="1" applyProtection="1">
      <alignment horizontal="right"/>
      <protection/>
    </xf>
    <xf numFmtId="181" fontId="11" fillId="0" borderId="6" xfId="0" applyNumberFormat="1" applyFont="1" applyFill="1" applyBorder="1" applyAlignment="1" applyProtection="1">
      <alignment/>
      <protection/>
    </xf>
    <xf numFmtId="181" fontId="11" fillId="0" borderId="82" xfId="0" applyNumberFormat="1" applyFont="1" applyFill="1" applyBorder="1" applyAlignment="1" applyProtection="1">
      <alignment/>
      <protection/>
    </xf>
    <xf numFmtId="181" fontId="11" fillId="0" borderId="138" xfId="0" applyNumberFormat="1" applyFont="1" applyFill="1" applyBorder="1" applyAlignment="1" applyProtection="1">
      <alignment/>
      <protection/>
    </xf>
    <xf numFmtId="181" fontId="11" fillId="0" borderId="3" xfId="0" applyNumberFormat="1" applyFont="1" applyFill="1" applyBorder="1" applyAlignment="1" applyProtection="1">
      <alignment/>
      <protection/>
    </xf>
    <xf numFmtId="181" fontId="11" fillId="0" borderId="5" xfId="0" applyNumberFormat="1" applyFont="1" applyFill="1" applyBorder="1" applyAlignment="1" applyProtection="1">
      <alignment/>
      <protection/>
    </xf>
    <xf numFmtId="181" fontId="11" fillId="0" borderId="139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 horizontal="center"/>
      <protection/>
    </xf>
    <xf numFmtId="181" fontId="12" fillId="0" borderId="0" xfId="0" applyNumberFormat="1" applyFont="1" applyFill="1" applyBorder="1" applyAlignment="1" applyProtection="1">
      <alignment horizontal="center"/>
      <protection/>
    </xf>
    <xf numFmtId="181" fontId="12" fillId="0" borderId="20" xfId="0" applyNumberFormat="1" applyFont="1" applyFill="1" applyBorder="1" applyAlignment="1" applyProtection="1">
      <alignment horizontal="center"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1" fillId="0" borderId="20" xfId="0" applyNumberFormat="1" applyFont="1" applyFill="1" applyBorder="1" applyAlignment="1" applyProtection="1">
      <alignment/>
      <protection/>
    </xf>
    <xf numFmtId="181" fontId="11" fillId="0" borderId="21" xfId="0" applyNumberFormat="1" applyFont="1" applyFill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 horizontal="centerContinuous"/>
      <protection/>
    </xf>
    <xf numFmtId="181" fontId="11" fillId="0" borderId="24" xfId="0" applyNumberFormat="1" applyFont="1" applyFill="1" applyBorder="1" applyAlignment="1" applyProtection="1">
      <alignment/>
      <protection/>
    </xf>
    <xf numFmtId="181" fontId="11" fillId="0" borderId="0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 horizontal="centerContinuous"/>
      <protection/>
    </xf>
    <xf numFmtId="181" fontId="12" fillId="0" borderId="9" xfId="0" applyNumberFormat="1" applyFont="1" applyFill="1" applyBorder="1" applyAlignment="1" applyProtection="1" quotePrefix="1">
      <alignment horizontal="center"/>
      <protection/>
    </xf>
    <xf numFmtId="181" fontId="12" fillId="0" borderId="20" xfId="0" applyNumberFormat="1" applyFont="1" applyFill="1" applyBorder="1" applyAlignment="1" applyProtection="1" quotePrefix="1">
      <alignment horizontal="center"/>
      <protection/>
    </xf>
    <xf numFmtId="181" fontId="12" fillId="0" borderId="21" xfId="0" applyNumberFormat="1" applyFont="1" applyFill="1" applyBorder="1" applyAlignment="1" applyProtection="1" quotePrefix="1">
      <alignment horizontal="center"/>
      <protection/>
    </xf>
    <xf numFmtId="181" fontId="12" fillId="0" borderId="140" xfId="0" applyNumberFormat="1" applyFont="1" applyFill="1" applyBorder="1" applyAlignment="1" applyProtection="1">
      <alignment horizontal="center"/>
      <protection/>
    </xf>
    <xf numFmtId="181" fontId="12" fillId="0" borderId="53" xfId="0" applyNumberFormat="1" applyFont="1" applyFill="1" applyBorder="1" applyAlignment="1" applyProtection="1">
      <alignment horizontal="center"/>
      <protection/>
    </xf>
    <xf numFmtId="181" fontId="12" fillId="0" borderId="141" xfId="0" applyNumberFormat="1" applyFont="1" applyFill="1" applyBorder="1" applyAlignment="1" applyProtection="1">
      <alignment horizontal="center"/>
      <protection/>
    </xf>
    <xf numFmtId="181" fontId="11" fillId="0" borderId="53" xfId="0" applyNumberFormat="1" applyFont="1" applyFill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 quotePrefix="1">
      <alignment horizontal="centerContinuous"/>
      <protection/>
    </xf>
    <xf numFmtId="181" fontId="12" fillId="0" borderId="24" xfId="0" applyNumberFormat="1" applyFont="1" applyFill="1" applyBorder="1" applyAlignment="1" applyProtection="1">
      <alignment horizontal="centerContinuous"/>
      <protection/>
    </xf>
    <xf numFmtId="181" fontId="12" fillId="0" borderId="8" xfId="0" applyNumberFormat="1" applyFont="1" applyFill="1" applyBorder="1" applyAlignment="1" applyProtection="1" quotePrefix="1">
      <alignment horizontal="centerContinuous"/>
      <protection/>
    </xf>
    <xf numFmtId="181" fontId="11" fillId="0" borderId="24" xfId="0" applyNumberFormat="1" applyFont="1" applyFill="1" applyBorder="1" applyAlignment="1" applyProtection="1">
      <alignment horizontal="centerContinuous"/>
      <protection/>
    </xf>
    <xf numFmtId="181" fontId="11" fillId="0" borderId="18" xfId="0" applyNumberFormat="1" applyFont="1" applyFill="1" applyBorder="1" applyAlignment="1" applyProtection="1">
      <alignment/>
      <protection/>
    </xf>
    <xf numFmtId="181" fontId="11" fillId="0" borderId="90" xfId="0" applyNumberFormat="1" applyFont="1" applyFill="1" applyBorder="1" applyAlignment="1" applyProtection="1">
      <alignment/>
      <protection/>
    </xf>
    <xf numFmtId="181" fontId="11" fillId="0" borderId="32" xfId="0" applyNumberFormat="1" applyFont="1" applyFill="1" applyBorder="1" applyAlignment="1" applyProtection="1">
      <alignment/>
      <protection/>
    </xf>
    <xf numFmtId="181" fontId="11" fillId="0" borderId="25" xfId="0" applyNumberFormat="1" applyFont="1" applyFill="1" applyBorder="1" applyAlignment="1" applyProtection="1">
      <alignment/>
      <protection/>
    </xf>
    <xf numFmtId="181" fontId="13" fillId="0" borderId="9" xfId="0" applyNumberFormat="1" applyFont="1" applyFill="1" applyBorder="1" applyAlignment="1" applyProtection="1">
      <alignment horizontal="center"/>
      <protection/>
    </xf>
    <xf numFmtId="181" fontId="13" fillId="0" borderId="22" xfId="0" applyNumberFormat="1" applyFont="1" applyFill="1" applyBorder="1" applyAlignment="1" applyProtection="1">
      <alignment horizontal="center"/>
      <protection/>
    </xf>
    <xf numFmtId="181" fontId="13" fillId="0" borderId="19" xfId="0" applyNumberFormat="1" applyFont="1" applyFill="1" applyBorder="1" applyAlignment="1" applyProtection="1">
      <alignment horizontal="center"/>
      <protection/>
    </xf>
    <xf numFmtId="181" fontId="13" fillId="0" borderId="18" xfId="0" applyNumberFormat="1" applyFont="1" applyFill="1" applyBorder="1" applyAlignment="1" applyProtection="1">
      <alignment horizontal="center"/>
      <protection/>
    </xf>
    <xf numFmtId="181" fontId="13" fillId="0" borderId="52" xfId="0" applyNumberFormat="1" applyFont="1" applyFill="1" applyBorder="1" applyAlignment="1" applyProtection="1">
      <alignment horizontal="center"/>
      <protection/>
    </xf>
    <xf numFmtId="181" fontId="13" fillId="0" borderId="53" xfId="0" applyNumberFormat="1" applyFont="1" applyFill="1" applyBorder="1" applyAlignment="1" applyProtection="1">
      <alignment horizontal="center"/>
      <protection/>
    </xf>
    <xf numFmtId="181" fontId="12" fillId="0" borderId="21" xfId="0" applyNumberFormat="1" applyFont="1" applyFill="1" applyBorder="1" applyAlignment="1" applyProtection="1">
      <alignment horizontal="center"/>
      <protection/>
    </xf>
    <xf numFmtId="181" fontId="12" fillId="0" borderId="24" xfId="0" applyNumberFormat="1" applyFont="1" applyFill="1" applyBorder="1" applyAlignment="1" applyProtection="1" quotePrefix="1">
      <alignment horizontal="center"/>
      <protection/>
    </xf>
    <xf numFmtId="181" fontId="12" fillId="0" borderId="9" xfId="0" applyNumberFormat="1" applyFont="1" applyFill="1" applyBorder="1" applyAlignment="1" applyProtection="1">
      <alignment horizontal="center"/>
      <protection/>
    </xf>
    <xf numFmtId="181" fontId="12" fillId="0" borderId="24" xfId="0" applyNumberFormat="1" applyFont="1" applyFill="1" applyBorder="1" applyAlignment="1" applyProtection="1">
      <alignment horizontal="center"/>
      <protection/>
    </xf>
    <xf numFmtId="181" fontId="13" fillId="0" borderId="9" xfId="0" applyNumberFormat="1" applyFont="1" applyFill="1" applyBorder="1" applyAlignment="1" applyProtection="1">
      <alignment/>
      <protection/>
    </xf>
    <xf numFmtId="181" fontId="13" fillId="0" borderId="20" xfId="0" applyNumberFormat="1" applyFont="1" applyFill="1" applyBorder="1" applyAlignment="1" applyProtection="1">
      <alignment/>
      <protection/>
    </xf>
    <xf numFmtId="181" fontId="13" fillId="0" borderId="21" xfId="0" applyNumberFormat="1" applyFont="1" applyFill="1" applyBorder="1" applyAlignment="1" applyProtection="1">
      <alignment/>
      <protection/>
    </xf>
    <xf numFmtId="181" fontId="12" fillId="0" borderId="24" xfId="0" applyNumberFormat="1" applyFont="1" applyFill="1" applyBorder="1" applyAlignment="1" applyProtection="1">
      <alignment/>
      <protection/>
    </xf>
    <xf numFmtId="181" fontId="12" fillId="0" borderId="22" xfId="0" applyNumberFormat="1" applyFont="1" applyFill="1" applyBorder="1" applyAlignment="1" applyProtection="1">
      <alignment horizontal="center"/>
      <protection/>
    </xf>
    <xf numFmtId="181" fontId="12" fillId="0" borderId="19" xfId="0" applyNumberFormat="1" applyFont="1" applyFill="1" applyBorder="1" applyAlignment="1" applyProtection="1">
      <alignment horizontal="center"/>
      <protection/>
    </xf>
    <xf numFmtId="181" fontId="12" fillId="0" borderId="8" xfId="0" applyNumberFormat="1" applyFont="1" applyFill="1" applyBorder="1" applyAlignment="1" applyProtection="1">
      <alignment horizontal="center"/>
      <protection/>
    </xf>
    <xf numFmtId="180" fontId="12" fillId="0" borderId="29" xfId="0" applyNumberFormat="1" applyFont="1" applyFill="1" applyBorder="1" applyAlignment="1" applyProtection="1">
      <alignment horizontal="center"/>
      <protection/>
    </xf>
    <xf numFmtId="180" fontId="12" fillId="0" borderId="90" xfId="0" applyNumberFormat="1" applyFont="1" applyFill="1" applyBorder="1" applyAlignment="1" applyProtection="1">
      <alignment horizontal="center"/>
      <protection/>
    </xf>
    <xf numFmtId="180" fontId="12" fillId="0" borderId="27" xfId="0" applyNumberFormat="1" applyFont="1" applyFill="1" applyBorder="1" applyAlignment="1" applyProtection="1">
      <alignment horizontal="center"/>
      <protection/>
    </xf>
    <xf numFmtId="180" fontId="12" fillId="0" borderId="26" xfId="0" applyNumberFormat="1" applyFont="1" applyFill="1" applyBorder="1" applyAlignment="1" applyProtection="1" quotePrefix="1">
      <alignment horizontal="center"/>
      <protection/>
    </xf>
    <xf numFmtId="180" fontId="12" fillId="0" borderId="27" xfId="0" applyNumberFormat="1" applyFont="1" applyFill="1" applyBorder="1" applyAlignment="1" applyProtection="1" quotePrefix="1">
      <alignment horizontal="center"/>
      <protection/>
    </xf>
    <xf numFmtId="180" fontId="12" fillId="0" borderId="28" xfId="0" applyNumberFormat="1" applyFont="1" applyFill="1" applyBorder="1" applyAlignment="1" applyProtection="1" quotePrefix="1">
      <alignment horizontal="center"/>
      <protection/>
    </xf>
    <xf numFmtId="180" fontId="12" fillId="0" borderId="32" xfId="0" applyNumberFormat="1" applyFont="1" applyFill="1" applyBorder="1" applyAlignment="1" applyProtection="1" quotePrefix="1">
      <alignment horizontal="center"/>
      <protection/>
    </xf>
    <xf numFmtId="181" fontId="15" fillId="0" borderId="21" xfId="0" applyNumberFormat="1" applyFont="1" applyFill="1" applyBorder="1" applyAlignment="1" applyProtection="1">
      <alignment horizontal="right"/>
      <protection/>
    </xf>
    <xf numFmtId="181" fontId="10" fillId="0" borderId="142" xfId="0" applyNumberFormat="1" applyFont="1" applyFill="1" applyBorder="1" applyAlignment="1" applyProtection="1">
      <alignment/>
      <protection/>
    </xf>
    <xf numFmtId="181" fontId="14" fillId="0" borderId="136" xfId="0" applyNumberFormat="1" applyFont="1" applyFill="1" applyBorder="1" applyAlignment="1" applyProtection="1">
      <alignment/>
      <protection/>
    </xf>
    <xf numFmtId="186" fontId="10" fillId="0" borderId="0" xfId="0" applyNumberFormat="1" applyFont="1" applyBorder="1" applyAlignment="1" applyProtection="1">
      <alignment horizontal="right"/>
      <protection/>
    </xf>
    <xf numFmtId="186" fontId="10" fillId="0" borderId="0" xfId="28" applyNumberFormat="1" applyFont="1" applyProtection="1">
      <alignment/>
      <protection/>
    </xf>
    <xf numFmtId="186" fontId="14" fillId="0" borderId="0" xfId="28" applyNumberFormat="1" applyFont="1" applyProtection="1">
      <alignment/>
      <protection/>
    </xf>
    <xf numFmtId="186" fontId="10" fillId="0" borderId="0" xfId="28" applyNumberFormat="1" applyFont="1" applyBorder="1" applyAlignment="1" applyProtection="1">
      <alignment horizontal="center"/>
      <protection/>
    </xf>
    <xf numFmtId="186" fontId="10" fillId="0" borderId="14" xfId="28" applyNumberFormat="1" applyFont="1" applyBorder="1" applyAlignment="1" applyProtection="1">
      <alignment horizontal="center"/>
      <protection/>
    </xf>
    <xf numFmtId="186" fontId="14" fillId="0" borderId="104" xfId="28" applyNumberFormat="1" applyFont="1" applyFill="1" applyBorder="1" applyProtection="1">
      <alignment/>
      <protection/>
    </xf>
    <xf numFmtId="186" fontId="15" fillId="0" borderId="143" xfId="28" applyNumberFormat="1" applyFont="1" applyFill="1" applyBorder="1" applyAlignment="1" applyProtection="1">
      <alignment horizontal="right"/>
      <protection/>
    </xf>
    <xf numFmtId="186" fontId="10" fillId="0" borderId="76" xfId="28" applyNumberFormat="1" applyFont="1" applyBorder="1" applyProtection="1">
      <alignment/>
      <protection/>
    </xf>
    <xf numFmtId="186" fontId="14" fillId="0" borderId="58" xfId="28" applyNumberFormat="1" applyFont="1" applyFill="1" applyBorder="1" applyProtection="1">
      <alignment/>
      <protection/>
    </xf>
    <xf numFmtId="186" fontId="14" fillId="0" borderId="0" xfId="28" applyNumberFormat="1" applyFont="1" applyFill="1" applyBorder="1" applyProtection="1">
      <alignment/>
      <protection/>
    </xf>
    <xf numFmtId="186" fontId="10" fillId="0" borderId="144" xfId="28" applyNumberFormat="1" applyFont="1" applyBorder="1" applyAlignment="1" applyProtection="1">
      <alignment horizontal="center"/>
      <protection/>
    </xf>
    <xf numFmtId="186" fontId="10" fillId="0" borderId="145" xfId="28" applyNumberFormat="1" applyFont="1" applyBorder="1" applyAlignment="1" applyProtection="1">
      <alignment horizontal="center"/>
      <protection/>
    </xf>
    <xf numFmtId="186" fontId="10" fillId="0" borderId="146" xfId="28" applyNumberFormat="1" applyFont="1" applyBorder="1" applyAlignment="1" applyProtection="1">
      <alignment horizontal="center"/>
      <protection/>
    </xf>
    <xf numFmtId="186" fontId="14" fillId="0" borderId="146" xfId="28" applyNumberFormat="1" applyFont="1" applyBorder="1" applyProtection="1">
      <alignment/>
      <protection/>
    </xf>
    <xf numFmtId="186" fontId="10" fillId="0" borderId="147" xfId="28" applyNumberFormat="1" applyFont="1" applyBorder="1" applyAlignment="1" applyProtection="1">
      <alignment horizontal="center"/>
      <protection/>
    </xf>
    <xf numFmtId="181" fontId="12" fillId="0" borderId="147" xfId="0" applyNumberFormat="1" applyFont="1" applyFill="1" applyBorder="1" applyAlignment="1" applyProtection="1" quotePrefix="1">
      <alignment horizontal="center"/>
      <protection/>
    </xf>
    <xf numFmtId="181" fontId="12" fillId="0" borderId="148" xfId="0" applyNumberFormat="1" applyFont="1" applyFill="1" applyBorder="1" applyAlignment="1" applyProtection="1" quotePrefix="1">
      <alignment horizontal="center"/>
      <protection/>
    </xf>
    <xf numFmtId="181" fontId="12" fillId="0" borderId="140" xfId="0" applyNumberFormat="1" applyFont="1" applyFill="1" applyBorder="1" applyAlignment="1" applyProtection="1" quotePrefix="1">
      <alignment horizontal="center"/>
      <protection/>
    </xf>
    <xf numFmtId="181" fontId="12" fillId="0" borderId="53" xfId="0" applyNumberFormat="1" applyFont="1" applyFill="1" applyBorder="1" applyAlignment="1" applyProtection="1" quotePrefix="1">
      <alignment horizontal="center"/>
      <protection/>
    </xf>
    <xf numFmtId="181" fontId="12" fillId="0" borderId="14" xfId="0" applyNumberFormat="1" applyFont="1" applyBorder="1" applyAlignment="1" applyProtection="1">
      <alignment horizontal="center"/>
      <protection/>
    </xf>
    <xf numFmtId="181" fontId="12" fillId="0" borderId="17" xfId="0" applyNumberFormat="1" applyFont="1" applyBorder="1" applyAlignment="1" applyProtection="1">
      <alignment horizontal="center"/>
      <protection/>
    </xf>
    <xf numFmtId="181" fontId="12" fillId="0" borderId="90" xfId="0" applyNumberFormat="1" applyFont="1" applyBorder="1" applyAlignment="1" applyProtection="1">
      <alignment horizontal="center"/>
      <protection/>
    </xf>
    <xf numFmtId="181" fontId="12" fillId="0" borderId="32" xfId="0" applyNumberFormat="1" applyFont="1" applyBorder="1" applyAlignment="1" applyProtection="1">
      <alignment horizontal="center"/>
      <protection/>
    </xf>
    <xf numFmtId="181" fontId="12" fillId="0" borderId="149" xfId="0" applyNumberFormat="1" applyFont="1" applyBorder="1" applyAlignment="1" applyProtection="1">
      <alignment horizontal="center"/>
      <protection/>
    </xf>
    <xf numFmtId="181" fontId="12" fillId="0" borderId="150" xfId="0" applyNumberFormat="1" applyFont="1" applyBorder="1" applyAlignment="1" applyProtection="1">
      <alignment horizontal="center"/>
      <protection/>
    </xf>
    <xf numFmtId="181" fontId="12" fillId="0" borderId="55" xfId="0" applyNumberFormat="1" applyFont="1" applyBorder="1" applyAlignment="1" applyProtection="1">
      <alignment horizontal="center"/>
      <protection/>
    </xf>
    <xf numFmtId="181" fontId="12" fillId="0" borderId="51" xfId="0" applyNumberFormat="1" applyFont="1" applyBorder="1" applyAlignment="1" applyProtection="1">
      <alignment horizontal="center"/>
      <protection/>
    </xf>
    <xf numFmtId="181" fontId="12" fillId="0" borderId="112" xfId="0" applyNumberFormat="1" applyFont="1" applyBorder="1" applyAlignment="1" applyProtection="1">
      <alignment horizontal="center"/>
      <protection/>
    </xf>
    <xf numFmtId="181" fontId="12" fillId="0" borderId="49" xfId="0" applyNumberFormat="1" applyFont="1" applyBorder="1" applyAlignment="1" applyProtection="1">
      <alignment horizontal="center"/>
      <protection/>
    </xf>
    <xf numFmtId="181" fontId="13" fillId="0" borderId="49" xfId="0" applyNumberFormat="1" applyFont="1" applyFill="1" applyBorder="1" applyAlignment="1" applyProtection="1">
      <alignment horizontal="center"/>
      <protection/>
    </xf>
    <xf numFmtId="181" fontId="12" fillId="0" borderId="56" xfId="0" applyNumberFormat="1" applyFont="1" applyBorder="1" applyAlignment="1" applyProtection="1">
      <alignment horizontal="center"/>
      <protection/>
    </xf>
    <xf numFmtId="181" fontId="12" fillId="0" borderId="143" xfId="0" applyNumberFormat="1" applyFont="1" applyBorder="1" applyAlignment="1" applyProtection="1">
      <alignment horizontal="center"/>
      <protection/>
    </xf>
    <xf numFmtId="181" fontId="12" fillId="0" borderId="34" xfId="0" applyNumberFormat="1" applyFont="1" applyBorder="1" applyAlignment="1" applyProtection="1">
      <alignment horizontal="center"/>
      <protection/>
    </xf>
    <xf numFmtId="181" fontId="12" fillId="0" borderId="56" xfId="0" applyNumberFormat="1" applyFont="1" applyFill="1" applyBorder="1" applyAlignment="1" applyProtection="1">
      <alignment horizontal="center"/>
      <protection/>
    </xf>
    <xf numFmtId="181" fontId="12" fillId="0" borderId="143" xfId="0" applyNumberFormat="1" applyFont="1" applyFill="1" applyBorder="1" applyAlignment="1" applyProtection="1">
      <alignment horizontal="center"/>
      <protection/>
    </xf>
    <xf numFmtId="181" fontId="12" fillId="0" borderId="34" xfId="0" applyNumberFormat="1" applyFont="1" applyFill="1" applyBorder="1" applyAlignment="1" applyProtection="1">
      <alignment horizontal="center"/>
      <protection/>
    </xf>
    <xf numFmtId="181" fontId="13" fillId="0" borderId="56" xfId="0" applyNumberFormat="1" applyFont="1" applyFill="1" applyBorder="1" applyAlignment="1" applyProtection="1">
      <alignment/>
      <protection/>
    </xf>
    <xf numFmtId="181" fontId="13" fillId="0" borderId="143" xfId="0" applyNumberFormat="1" applyFont="1" applyFill="1" applyBorder="1" applyAlignment="1" applyProtection="1">
      <alignment/>
      <protection/>
    </xf>
    <xf numFmtId="181" fontId="13" fillId="0" borderId="34" xfId="0" applyNumberFormat="1" applyFont="1" applyFill="1" applyBorder="1" applyAlignment="1" applyProtection="1">
      <alignment/>
      <protection/>
    </xf>
    <xf numFmtId="181" fontId="13" fillId="0" borderId="18" xfId="0" applyNumberFormat="1" applyFont="1" applyFill="1" applyBorder="1" applyAlignment="1" applyProtection="1">
      <alignment/>
      <protection/>
    </xf>
    <xf numFmtId="181" fontId="13" fillId="0" borderId="22" xfId="0" applyNumberFormat="1" applyFont="1" applyFill="1" applyBorder="1" applyAlignment="1" applyProtection="1">
      <alignment/>
      <protection/>
    </xf>
    <xf numFmtId="181" fontId="13" fillId="0" borderId="19" xfId="0" applyNumberFormat="1" applyFont="1" applyFill="1" applyBorder="1" applyAlignment="1" applyProtection="1">
      <alignment/>
      <protection/>
    </xf>
    <xf numFmtId="180" fontId="10" fillId="0" borderId="151" xfId="28" applyNumberFormat="1" applyFont="1" applyBorder="1" applyAlignment="1" applyProtection="1">
      <alignment horizontal="center"/>
      <protection/>
    </xf>
    <xf numFmtId="180" fontId="10" fillId="0" borderId="14" xfId="28" applyNumberFormat="1" applyFont="1" applyBorder="1" applyAlignment="1" applyProtection="1">
      <alignment horizontal="center"/>
      <protection/>
    </xf>
    <xf numFmtId="180" fontId="12" fillId="0" borderId="152" xfId="0" applyNumberFormat="1" applyFont="1" applyFill="1" applyBorder="1" applyAlignment="1" applyProtection="1" quotePrefix="1">
      <alignment horizontal="center"/>
      <protection/>
    </xf>
    <xf numFmtId="180" fontId="12" fillId="0" borderId="153" xfId="0" applyNumberFormat="1" applyFont="1" applyFill="1" applyBorder="1" applyAlignment="1" applyProtection="1" quotePrefix="1">
      <alignment horizontal="center"/>
      <protection/>
    </xf>
    <xf numFmtId="180" fontId="12" fillId="0" borderId="154" xfId="0" applyNumberFormat="1" applyFont="1" applyFill="1" applyBorder="1" applyAlignment="1" applyProtection="1" quotePrefix="1">
      <alignment horizontal="center"/>
      <protection/>
    </xf>
    <xf numFmtId="186" fontId="14" fillId="0" borderId="146" xfId="28" applyNumberFormat="1" applyFont="1" applyFill="1" applyBorder="1" applyProtection="1">
      <alignment/>
      <protection/>
    </xf>
    <xf numFmtId="186" fontId="15" fillId="0" borderId="155" xfId="28" applyNumberFormat="1" applyFont="1" applyFill="1" applyBorder="1" applyAlignment="1" applyProtection="1">
      <alignment horizontal="right"/>
      <protection/>
    </xf>
    <xf numFmtId="186" fontId="15" fillId="0" borderId="156" xfId="28" applyNumberFormat="1" applyFont="1" applyFill="1" applyBorder="1" applyAlignment="1" applyProtection="1">
      <alignment horizontal="right"/>
      <protection/>
    </xf>
    <xf numFmtId="186" fontId="15" fillId="0" borderId="125" xfId="28" applyNumberFormat="1" applyFont="1" applyFill="1" applyBorder="1" applyAlignment="1" applyProtection="1">
      <alignment horizontal="right"/>
      <protection/>
    </xf>
    <xf numFmtId="186" fontId="15" fillId="0" borderId="51" xfId="28" applyNumberFormat="1" applyFont="1" applyFill="1" applyBorder="1" applyAlignment="1" applyProtection="1">
      <alignment horizontal="right"/>
      <protection/>
    </xf>
    <xf numFmtId="186" fontId="15" fillId="0" borderId="112" xfId="28" applyNumberFormat="1" applyFont="1" applyFill="1" applyBorder="1" applyAlignment="1" applyProtection="1">
      <alignment horizontal="right"/>
      <protection/>
    </xf>
    <xf numFmtId="186" fontId="15" fillId="0" borderId="49" xfId="28" applyNumberFormat="1" applyFont="1" applyFill="1" applyBorder="1" applyAlignment="1" applyProtection="1">
      <alignment horizontal="right"/>
      <protection/>
    </xf>
    <xf numFmtId="186" fontId="15" fillId="0" borderId="124" xfId="28" applyNumberFormat="1" applyFont="1" applyFill="1" applyBorder="1" applyAlignment="1" applyProtection="1">
      <alignment horizontal="right"/>
      <protection/>
    </xf>
    <xf numFmtId="186" fontId="15" fillId="0" borderId="157" xfId="28" applyNumberFormat="1" applyFont="1" applyFill="1" applyBorder="1" applyAlignment="1" applyProtection="1">
      <alignment horizontal="right"/>
      <protection/>
    </xf>
    <xf numFmtId="186" fontId="15" fillId="0" borderId="158" xfId="28" applyNumberFormat="1" applyFont="1" applyFill="1" applyBorder="1" applyAlignment="1" applyProtection="1">
      <alignment horizontal="right"/>
      <protection/>
    </xf>
    <xf numFmtId="186" fontId="10" fillId="0" borderId="146" xfId="28" applyNumberFormat="1" applyFont="1" applyFill="1" applyBorder="1" applyProtection="1">
      <alignment/>
      <protection/>
    </xf>
    <xf numFmtId="186" fontId="15" fillId="0" borderId="56" xfId="28" applyNumberFormat="1" applyFont="1" applyFill="1" applyBorder="1" applyAlignment="1" applyProtection="1">
      <alignment horizontal="right"/>
      <protection/>
    </xf>
    <xf numFmtId="186" fontId="15" fillId="0" borderId="34" xfId="28" applyNumberFormat="1" applyFont="1" applyFill="1" applyBorder="1" applyAlignment="1" applyProtection="1">
      <alignment horizontal="right"/>
      <protection/>
    </xf>
    <xf numFmtId="186" fontId="15" fillId="0" borderId="18" xfId="28" applyNumberFormat="1" applyFont="1" applyFill="1" applyBorder="1" applyAlignment="1" applyProtection="1">
      <alignment horizontal="right"/>
      <protection/>
    </xf>
    <xf numFmtId="186" fontId="15" fillId="0" borderId="22" xfId="28" applyNumberFormat="1" applyFont="1" applyFill="1" applyBorder="1" applyAlignment="1" applyProtection="1">
      <alignment horizontal="right"/>
      <protection/>
    </xf>
    <xf numFmtId="186" fontId="15" fillId="0" borderId="19" xfId="28" applyNumberFormat="1" applyFont="1" applyFill="1" applyBorder="1" applyAlignment="1" applyProtection="1">
      <alignment horizontal="right"/>
      <protection/>
    </xf>
    <xf numFmtId="186" fontId="15" fillId="0" borderId="33" xfId="28" applyNumberFormat="1" applyFont="1" applyFill="1" applyBorder="1" applyAlignment="1" applyProtection="1">
      <alignment horizontal="right"/>
      <protection/>
    </xf>
    <xf numFmtId="186" fontId="15" fillId="0" borderId="57" xfId="28" applyNumberFormat="1" applyFont="1" applyFill="1" applyBorder="1" applyAlignment="1" applyProtection="1">
      <alignment horizontal="right"/>
      <protection/>
    </xf>
    <xf numFmtId="186" fontId="15" fillId="0" borderId="104" xfId="28" applyNumberFormat="1" applyFont="1" applyFill="1" applyBorder="1" applyAlignment="1" applyProtection="1">
      <alignment horizontal="right"/>
      <protection/>
    </xf>
    <xf numFmtId="186" fontId="14" fillId="0" borderId="143" xfId="28" applyNumberFormat="1" applyFont="1" applyBorder="1" applyProtection="1">
      <alignment/>
      <protection/>
    </xf>
    <xf numFmtId="186" fontId="14" fillId="0" borderId="57" xfId="28" applyNumberFormat="1" applyFont="1" applyBorder="1" applyProtection="1">
      <alignment/>
      <protection/>
    </xf>
    <xf numFmtId="186" fontId="14" fillId="0" borderId="104" xfId="28" applyNumberFormat="1" applyFont="1" applyBorder="1" applyProtection="1">
      <alignment/>
      <protection/>
    </xf>
    <xf numFmtId="186" fontId="14" fillId="0" borderId="34" xfId="28" applyNumberFormat="1" applyFont="1" applyBorder="1" applyProtection="1">
      <alignment/>
      <protection/>
    </xf>
    <xf numFmtId="186" fontId="10" fillId="0" borderId="34" xfId="28" applyNumberFormat="1" applyFont="1" applyFill="1" applyBorder="1" applyAlignment="1" applyProtection="1">
      <alignment horizontal="right"/>
      <protection/>
    </xf>
    <xf numFmtId="186" fontId="10" fillId="0" borderId="19" xfId="28" applyNumberFormat="1" applyFont="1" applyFill="1" applyBorder="1" applyAlignment="1" applyProtection="1">
      <alignment horizontal="right"/>
      <protection/>
    </xf>
    <xf numFmtId="186" fontId="10" fillId="0" borderId="57" xfId="28" applyNumberFormat="1" applyFont="1" applyFill="1" applyBorder="1" applyAlignment="1" applyProtection="1">
      <alignment horizontal="right"/>
      <protection/>
    </xf>
    <xf numFmtId="186" fontId="10" fillId="0" borderId="57" xfId="28" applyNumberFormat="1" applyFont="1" applyBorder="1" applyProtection="1">
      <alignment/>
      <protection/>
    </xf>
    <xf numFmtId="186" fontId="10" fillId="0" borderId="34" xfId="28" applyNumberFormat="1" applyFont="1" applyBorder="1" applyProtection="1">
      <alignment/>
      <protection/>
    </xf>
    <xf numFmtId="186" fontId="14" fillId="0" borderId="93" xfId="28" applyNumberFormat="1" applyFont="1" applyFill="1" applyBorder="1" applyProtection="1">
      <alignment/>
      <protection/>
    </xf>
    <xf numFmtId="186" fontId="14" fillId="0" borderId="159" xfId="28" applyNumberFormat="1" applyFont="1" applyFill="1" applyBorder="1" applyProtection="1">
      <alignment/>
      <protection/>
    </xf>
    <xf numFmtId="186" fontId="14" fillId="0" borderId="160" xfId="28" applyNumberFormat="1" applyFont="1" applyFill="1" applyBorder="1" applyProtection="1">
      <alignment/>
      <protection/>
    </xf>
    <xf numFmtId="186" fontId="14" fillId="0" borderId="93" xfId="28" applyNumberFormat="1" applyFont="1" applyBorder="1" applyProtection="1">
      <alignment/>
      <protection/>
    </xf>
    <xf numFmtId="186" fontId="19" fillId="0" borderId="161" xfId="28" applyNumberFormat="1" applyFont="1" applyBorder="1" applyProtection="1">
      <alignment/>
      <protection/>
    </xf>
    <xf numFmtId="186" fontId="10" fillId="0" borderId="162" xfId="28" applyNumberFormat="1" applyFont="1" applyFill="1" applyBorder="1" applyProtection="1">
      <alignment/>
      <protection/>
    </xf>
    <xf numFmtId="186" fontId="10" fillId="0" borderId="71" xfId="28" applyNumberFormat="1" applyFont="1" applyBorder="1" applyProtection="1">
      <alignment/>
      <protection/>
    </xf>
    <xf numFmtId="186" fontId="10" fillId="0" borderId="74" xfId="28" applyNumberFormat="1" applyFont="1" applyBorder="1" applyProtection="1">
      <alignment/>
      <protection/>
    </xf>
    <xf numFmtId="186" fontId="10" fillId="0" borderId="73" xfId="28" applyNumberFormat="1" applyFont="1" applyBorder="1" applyProtection="1">
      <alignment/>
      <protection/>
    </xf>
    <xf numFmtId="181" fontId="14" fillId="0" borderId="0" xfId="0" applyNumberFormat="1" applyFont="1" applyAlignment="1" applyProtection="1">
      <alignment/>
      <protection locked="0"/>
    </xf>
    <xf numFmtId="194" fontId="14" fillId="0" borderId="0" xfId="0" applyNumberFormat="1" applyFont="1" applyAlignment="1" applyProtection="1">
      <alignment/>
      <protection locked="0"/>
    </xf>
    <xf numFmtId="194" fontId="14" fillId="0" borderId="0" xfId="0" applyNumberFormat="1" applyFont="1" applyBorder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Border="1" applyAlignment="1" applyProtection="1">
      <alignment/>
      <protection locked="0"/>
    </xf>
    <xf numFmtId="194" fontId="10" fillId="0" borderId="0" xfId="0" applyNumberFormat="1" applyFont="1" applyAlignment="1" applyProtection="1">
      <alignment/>
      <protection locked="0"/>
    </xf>
    <xf numFmtId="194" fontId="9" fillId="0" borderId="0" xfId="0" applyNumberFormat="1" applyFont="1" applyBorder="1" applyAlignment="1" applyProtection="1">
      <alignment horizontal="right"/>
      <protection locked="0"/>
    </xf>
    <xf numFmtId="181" fontId="16" fillId="0" borderId="0" xfId="0" applyNumberFormat="1" applyFont="1" applyAlignment="1" applyProtection="1">
      <alignment/>
      <protection locked="0"/>
    </xf>
    <xf numFmtId="194" fontId="16" fillId="0" borderId="0" xfId="0" applyNumberFormat="1" applyFont="1" applyAlignment="1" applyProtection="1">
      <alignment horizontal="centerContinuous"/>
      <protection locked="0"/>
    </xf>
    <xf numFmtId="194" fontId="16" fillId="0" borderId="0" xfId="0" applyNumberFormat="1" applyFont="1" applyBorder="1" applyAlignment="1" applyProtection="1">
      <alignment horizontal="centerContinuous"/>
      <protection locked="0"/>
    </xf>
    <xf numFmtId="181" fontId="17" fillId="0" borderId="0" xfId="0" applyNumberFormat="1" applyFont="1" applyFill="1" applyBorder="1" applyAlignment="1" applyProtection="1">
      <alignment horizontal="left"/>
      <protection locked="0"/>
    </xf>
    <xf numFmtId="181" fontId="14" fillId="0" borderId="0" xfId="0" applyNumberFormat="1" applyFont="1" applyBorder="1" applyAlignment="1" applyProtection="1">
      <alignment/>
      <protection locked="0"/>
    </xf>
    <xf numFmtId="181" fontId="14" fillId="0" borderId="0" xfId="0" applyNumberFormat="1" applyFont="1" applyBorder="1" applyAlignment="1" applyProtection="1">
      <alignment/>
      <protection locked="0"/>
    </xf>
    <xf numFmtId="181" fontId="11" fillId="0" borderId="0" xfId="0" applyNumberFormat="1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181" fontId="14" fillId="0" borderId="9" xfId="0" applyNumberFormat="1" applyFont="1" applyBorder="1" applyAlignment="1" applyProtection="1">
      <alignment/>
      <protection locked="0"/>
    </xf>
    <xf numFmtId="181" fontId="14" fillId="0" borderId="22" xfId="0" applyNumberFormat="1" applyFont="1" applyBorder="1" applyAlignment="1" applyProtection="1">
      <alignment/>
      <protection locked="0"/>
    </xf>
    <xf numFmtId="181" fontId="14" fillId="0" borderId="22" xfId="0" applyNumberFormat="1" applyFont="1" applyBorder="1" applyAlignment="1" applyProtection="1">
      <alignment/>
      <protection locked="0"/>
    </xf>
    <xf numFmtId="181" fontId="14" fillId="0" borderId="163" xfId="0" applyNumberFormat="1" applyFont="1" applyBorder="1" applyAlignment="1" applyProtection="1">
      <alignment/>
      <protection locked="0"/>
    </xf>
    <xf numFmtId="181" fontId="14" fillId="0" borderId="164" xfId="0" applyNumberFormat="1" applyFont="1" applyBorder="1" applyAlignment="1" applyProtection="1">
      <alignment/>
      <protection locked="0"/>
    </xf>
    <xf numFmtId="181" fontId="14" fillId="0" borderId="164" xfId="0" applyNumberFormat="1" applyFont="1" applyBorder="1" applyAlignment="1" applyProtection="1">
      <alignment/>
      <protection locked="0"/>
    </xf>
    <xf numFmtId="181" fontId="14" fillId="0" borderId="165" xfId="0" applyNumberFormat="1" applyFont="1" applyBorder="1" applyAlignment="1" applyProtection="1">
      <alignment/>
      <protection locked="0"/>
    </xf>
    <xf numFmtId="181" fontId="14" fillId="0" borderId="166" xfId="0" applyNumberFormat="1" applyFont="1" applyBorder="1" applyAlignment="1" applyProtection="1">
      <alignment/>
      <protection locked="0"/>
    </xf>
    <xf numFmtId="181" fontId="14" fillId="0" borderId="166" xfId="0" applyNumberFormat="1" applyFont="1" applyBorder="1" applyAlignment="1" applyProtection="1">
      <alignment/>
      <protection locked="0"/>
    </xf>
    <xf numFmtId="181" fontId="14" fillId="0" borderId="0" xfId="0" applyNumberFormat="1" applyFont="1" applyFill="1" applyAlignment="1" applyProtection="1">
      <alignment/>
      <protection locked="0"/>
    </xf>
    <xf numFmtId="181" fontId="10" fillId="0" borderId="18" xfId="0" applyNumberFormat="1" applyFont="1" applyFill="1" applyBorder="1" applyAlignment="1" applyProtection="1">
      <alignment/>
      <protection locked="0"/>
    </xf>
    <xf numFmtId="181" fontId="10" fillId="0" borderId="22" xfId="0" applyNumberFormat="1" applyFont="1" applyFill="1" applyBorder="1" applyAlignment="1" applyProtection="1">
      <alignment/>
      <protection locked="0"/>
    </xf>
    <xf numFmtId="181" fontId="10" fillId="0" borderId="24" xfId="0" applyNumberFormat="1" applyFont="1" applyFill="1" applyBorder="1" applyAlignment="1" applyProtection="1">
      <alignment/>
      <protection locked="0"/>
    </xf>
    <xf numFmtId="181" fontId="10" fillId="0" borderId="0" xfId="0" applyNumberFormat="1" applyFont="1" applyFill="1" applyAlignment="1" applyProtection="1">
      <alignment/>
      <protection locked="0"/>
    </xf>
    <xf numFmtId="181" fontId="14" fillId="0" borderId="143" xfId="0" applyNumberFormat="1" applyFont="1" applyBorder="1" applyAlignment="1" applyProtection="1">
      <alignment/>
      <protection locked="0"/>
    </xf>
    <xf numFmtId="181" fontId="14" fillId="0" borderId="143" xfId="0" applyNumberFormat="1" applyFont="1" applyBorder="1" applyAlignment="1" applyProtection="1">
      <alignment/>
      <protection locked="0"/>
    </xf>
    <xf numFmtId="181" fontId="14" fillId="0" borderId="167" xfId="0" applyNumberFormat="1" applyFont="1" applyBorder="1" applyAlignment="1" applyProtection="1">
      <alignment/>
      <protection locked="0"/>
    </xf>
    <xf numFmtId="181" fontId="14" fillId="0" borderId="103" xfId="0" applyNumberFormat="1" applyFont="1" applyBorder="1" applyAlignment="1" applyProtection="1">
      <alignment/>
      <protection locked="0"/>
    </xf>
    <xf numFmtId="182" fontId="14" fillId="0" borderId="0" xfId="0" applyNumberFormat="1" applyFont="1" applyAlignment="1" applyProtection="1">
      <alignment/>
      <protection locked="0"/>
    </xf>
    <xf numFmtId="181" fontId="14" fillId="0" borderId="0" xfId="0" applyNumberFormat="1" applyFont="1" applyFill="1" applyBorder="1" applyAlignment="1" applyProtection="1">
      <alignment/>
      <protection locked="0"/>
    </xf>
    <xf numFmtId="182" fontId="14" fillId="0" borderId="8" xfId="0" applyNumberFormat="1" applyFont="1" applyFill="1" applyBorder="1" applyAlignment="1" applyProtection="1">
      <alignment/>
      <protection locked="0"/>
    </xf>
    <xf numFmtId="181" fontId="14" fillId="2" borderId="24" xfId="0" applyNumberFormat="1" applyFont="1" applyFill="1" applyBorder="1" applyAlignment="1" applyProtection="1">
      <alignment/>
      <protection locked="0"/>
    </xf>
    <xf numFmtId="1" fontId="14" fillId="0" borderId="8" xfId="0" applyNumberFormat="1" applyFont="1" applyFill="1" applyBorder="1" applyAlignment="1" applyProtection="1" quotePrefix="1">
      <alignment horizontal="right"/>
      <protection locked="0"/>
    </xf>
    <xf numFmtId="181" fontId="14" fillId="0" borderId="33" xfId="0" applyNumberFormat="1" applyFont="1" applyFill="1" applyBorder="1" applyAlignment="1" applyProtection="1" quotePrefix="1">
      <alignment horizontal="right"/>
      <protection locked="0"/>
    </xf>
    <xf numFmtId="182" fontId="14" fillId="0" borderId="8" xfId="0" applyNumberFormat="1" applyFont="1" applyFill="1" applyBorder="1" applyAlignment="1" applyProtection="1" quotePrefix="1">
      <alignment horizontal="right"/>
      <protection locked="0"/>
    </xf>
    <xf numFmtId="181" fontId="14" fillId="0" borderId="168" xfId="0" applyNumberFormat="1" applyFont="1" applyFill="1" applyBorder="1" applyAlignment="1" applyProtection="1">
      <alignment/>
      <protection locked="0"/>
    </xf>
    <xf numFmtId="181" fontId="14" fillId="2" borderId="32" xfId="0" applyNumberFormat="1" applyFont="1" applyFill="1" applyBorder="1" applyAlignment="1" applyProtection="1">
      <alignment/>
      <protection locked="0"/>
    </xf>
    <xf numFmtId="181" fontId="14" fillId="0" borderId="8" xfId="0" applyNumberFormat="1" applyFont="1" applyFill="1" applyBorder="1" applyAlignment="1" applyProtection="1">
      <alignment/>
      <protection locked="0"/>
    </xf>
    <xf numFmtId="181" fontId="14" fillId="0" borderId="24" xfId="0" applyNumberFormat="1" applyFont="1" applyFill="1" applyBorder="1" applyAlignment="1" applyProtection="1">
      <alignment/>
      <protection locked="0"/>
    </xf>
    <xf numFmtId="181" fontId="15" fillId="0" borderId="19" xfId="0" applyNumberFormat="1" applyFont="1" applyFill="1" applyBorder="1" applyAlignment="1" applyProtection="1">
      <alignment horizontal="right"/>
      <protection locked="0"/>
    </xf>
    <xf numFmtId="181" fontId="15" fillId="0" borderId="20" xfId="0" applyNumberFormat="1" applyFont="1" applyFill="1" applyBorder="1" applyAlignment="1" applyProtection="1">
      <alignment horizontal="right"/>
      <protection locked="0"/>
    </xf>
    <xf numFmtId="181" fontId="15" fillId="0" borderId="0" xfId="0" applyNumberFormat="1" applyFont="1" applyFill="1" applyBorder="1" applyAlignment="1" applyProtection="1">
      <alignment horizontal="right"/>
      <protection locked="0"/>
    </xf>
    <xf numFmtId="181" fontId="15" fillId="0" borderId="8" xfId="0" applyNumberFormat="1" applyFont="1" applyFill="1" applyBorder="1" applyAlignment="1" applyProtection="1">
      <alignment horizontal="right"/>
      <protection locked="0"/>
    </xf>
    <xf numFmtId="181" fontId="10" fillId="0" borderId="8" xfId="0" applyNumberFormat="1" applyFont="1" applyFill="1" applyBorder="1" applyAlignment="1" applyProtection="1">
      <alignment/>
      <protection locked="0"/>
    </xf>
    <xf numFmtId="181" fontId="10" fillId="0" borderId="169" xfId="0" applyNumberFormat="1" applyFont="1" applyFill="1" applyBorder="1" applyAlignment="1" applyProtection="1">
      <alignment horizontal="right"/>
      <protection locked="0"/>
    </xf>
    <xf numFmtId="181" fontId="14" fillId="0" borderId="8" xfId="0" applyNumberFormat="1" applyFont="1" applyFill="1" applyBorder="1" applyAlignment="1" applyProtection="1">
      <alignment horizontal="left" indent="1"/>
      <protection locked="0"/>
    </xf>
    <xf numFmtId="181" fontId="14" fillId="0" borderId="170" xfId="0" applyNumberFormat="1" applyFont="1" applyFill="1" applyBorder="1" applyAlignment="1" applyProtection="1" quotePrefix="1">
      <alignment horizontal="right"/>
      <protection locked="0"/>
    </xf>
    <xf numFmtId="181" fontId="14" fillId="0" borderId="118" xfId="0" applyNumberFormat="1" applyFont="1" applyFill="1" applyBorder="1" applyAlignment="1" applyProtection="1" quotePrefix="1">
      <alignment horizontal="right"/>
      <protection locked="0"/>
    </xf>
    <xf numFmtId="181" fontId="14" fillId="0" borderId="171" xfId="0" applyNumberFormat="1" applyFont="1" applyFill="1" applyBorder="1" applyAlignment="1" applyProtection="1" quotePrefix="1">
      <alignment horizontal="right"/>
      <protection locked="0"/>
    </xf>
    <xf numFmtId="181" fontId="14" fillId="0" borderId="172" xfId="0" applyNumberFormat="1" applyFont="1" applyFill="1" applyBorder="1" applyAlignment="1" applyProtection="1" quotePrefix="1">
      <alignment horizontal="right"/>
      <protection locked="0"/>
    </xf>
    <xf numFmtId="181" fontId="14" fillId="0" borderId="173" xfId="0" applyNumberFormat="1" applyFont="1" applyFill="1" applyBorder="1" applyAlignment="1" applyProtection="1" quotePrefix="1">
      <alignment horizontal="right"/>
      <protection locked="0"/>
    </xf>
    <xf numFmtId="181" fontId="14" fillId="0" borderId="174" xfId="0" applyNumberFormat="1" applyFont="1" applyFill="1" applyBorder="1" applyAlignment="1" applyProtection="1" quotePrefix="1">
      <alignment horizontal="right"/>
      <protection locked="0"/>
    </xf>
    <xf numFmtId="181" fontId="14" fillId="0" borderId="121" xfId="0" applyNumberFormat="1" applyFont="1" applyFill="1" applyBorder="1" applyAlignment="1" applyProtection="1" quotePrefix="1">
      <alignment horizontal="right"/>
      <protection locked="0"/>
    </xf>
    <xf numFmtId="181" fontId="14" fillId="0" borderId="175" xfId="0" applyNumberFormat="1" applyFont="1" applyFill="1" applyBorder="1" applyAlignment="1" applyProtection="1" quotePrefix="1">
      <alignment horizontal="right"/>
      <protection locked="0"/>
    </xf>
    <xf numFmtId="181" fontId="14" fillId="0" borderId="56" xfId="0" applyNumberFormat="1" applyFont="1" applyFill="1" applyBorder="1" applyAlignment="1" applyProtection="1" quotePrefix="1">
      <alignment horizontal="right"/>
      <protection locked="0"/>
    </xf>
    <xf numFmtId="181" fontId="14" fillId="0" borderId="24" xfId="0" applyNumberFormat="1" applyFont="1" applyFill="1" applyBorder="1" applyAlignment="1" applyProtection="1" quotePrefix="1">
      <alignment horizontal="right"/>
      <protection locked="0"/>
    </xf>
    <xf numFmtId="181" fontId="14" fillId="0" borderId="0" xfId="0" applyNumberFormat="1" applyFont="1" applyFill="1" applyBorder="1" applyAlignment="1" applyProtection="1" quotePrefix="1">
      <alignment horizontal="right"/>
      <protection locked="0"/>
    </xf>
    <xf numFmtId="181" fontId="10" fillId="0" borderId="0" xfId="0" applyNumberFormat="1" applyFont="1" applyFill="1" applyBorder="1" applyAlignment="1" applyProtection="1" quotePrefix="1">
      <alignment horizontal="right"/>
      <protection locked="0"/>
    </xf>
    <xf numFmtId="181" fontId="14" fillId="0" borderId="8" xfId="0" applyNumberFormat="1" applyFont="1" applyFill="1" applyBorder="1" applyAlignment="1" applyProtection="1">
      <alignment horizontal="left" indent="2"/>
      <protection locked="0"/>
    </xf>
    <xf numFmtId="181" fontId="14" fillId="0" borderId="176" xfId="0" applyNumberFormat="1" applyFont="1" applyFill="1" applyBorder="1" applyAlignment="1" applyProtection="1" quotePrefix="1">
      <alignment horizontal="right"/>
      <protection locked="0"/>
    </xf>
    <xf numFmtId="181" fontId="14" fillId="0" borderId="177" xfId="0" applyNumberFormat="1" applyFont="1" applyFill="1" applyBorder="1" applyAlignment="1" applyProtection="1" quotePrefix="1">
      <alignment horizontal="right"/>
      <protection locked="0"/>
    </xf>
    <xf numFmtId="181" fontId="14" fillId="0" borderId="141" xfId="0" applyNumberFormat="1" applyFont="1" applyFill="1" applyBorder="1" applyAlignment="1" applyProtection="1">
      <alignment horizontal="left" indent="1"/>
      <protection locked="0"/>
    </xf>
    <xf numFmtId="181" fontId="14" fillId="0" borderId="140" xfId="0" applyNumberFormat="1" applyFont="1" applyFill="1" applyBorder="1" applyAlignment="1" applyProtection="1">
      <alignment/>
      <protection locked="0"/>
    </xf>
    <xf numFmtId="181" fontId="14" fillId="0" borderId="53" xfId="0" applyNumberFormat="1" applyFont="1" applyFill="1" applyBorder="1" applyAlignment="1" applyProtection="1">
      <alignment/>
      <protection locked="0"/>
    </xf>
    <xf numFmtId="181" fontId="14" fillId="0" borderId="141" xfId="0" applyNumberFormat="1" applyFont="1" applyFill="1" applyBorder="1" applyAlignment="1" applyProtection="1">
      <alignment/>
      <protection locked="0"/>
    </xf>
    <xf numFmtId="181" fontId="14" fillId="0" borderId="155" xfId="0" applyNumberFormat="1" applyFont="1" applyFill="1" applyBorder="1" applyAlignment="1" applyProtection="1" quotePrefix="1">
      <alignment horizontal="right"/>
      <protection locked="0"/>
    </xf>
    <xf numFmtId="181" fontId="14" fillId="0" borderId="53" xfId="0" applyNumberFormat="1" applyFont="1" applyFill="1" applyBorder="1" applyAlignment="1" applyProtection="1" quotePrefix="1">
      <alignment horizontal="right"/>
      <protection locked="0"/>
    </xf>
    <xf numFmtId="181" fontId="14" fillId="0" borderId="124" xfId="0" applyNumberFormat="1" applyFont="1" applyFill="1" applyBorder="1" applyAlignment="1" applyProtection="1" quotePrefix="1">
      <alignment horizontal="right"/>
      <protection locked="0"/>
    </xf>
    <xf numFmtId="181" fontId="14" fillId="0" borderId="140" xfId="0" applyNumberFormat="1" applyFont="1" applyFill="1" applyBorder="1" applyAlignment="1" applyProtection="1" quotePrefix="1">
      <alignment horizontal="right"/>
      <protection locked="0"/>
    </xf>
    <xf numFmtId="181" fontId="14" fillId="0" borderId="108" xfId="0" applyNumberFormat="1" applyFont="1" applyFill="1" applyBorder="1" applyAlignment="1" applyProtection="1">
      <alignment/>
      <protection locked="0"/>
    </xf>
    <xf numFmtId="181" fontId="10" fillId="0" borderId="107" xfId="0" applyNumberFormat="1" applyFont="1" applyFill="1" applyBorder="1" applyAlignment="1" applyProtection="1" quotePrefix="1">
      <alignment horizontal="right"/>
      <protection locked="0"/>
    </xf>
    <xf numFmtId="181" fontId="10" fillId="0" borderId="0" xfId="0" applyNumberFormat="1" applyFont="1" applyFill="1" applyBorder="1" applyAlignment="1" applyProtection="1">
      <alignment/>
      <protection locked="0"/>
    </xf>
    <xf numFmtId="181" fontId="16" fillId="0" borderId="0" xfId="0" applyNumberFormat="1" applyFont="1" applyFill="1" applyAlignment="1" applyProtection="1">
      <alignment/>
      <protection locked="0"/>
    </xf>
    <xf numFmtId="181" fontId="14" fillId="0" borderId="9" xfId="0" applyNumberFormat="1" applyFont="1" applyFill="1" applyBorder="1" applyAlignment="1" applyProtection="1">
      <alignment/>
      <protection locked="0"/>
    </xf>
    <xf numFmtId="181" fontId="14" fillId="0" borderId="20" xfId="0" applyNumberFormat="1" applyFont="1" applyFill="1" applyBorder="1" applyAlignment="1" applyProtection="1">
      <alignment/>
      <protection locked="0"/>
    </xf>
    <xf numFmtId="181" fontId="14" fillId="0" borderId="21" xfId="0" applyNumberFormat="1" applyFont="1" applyFill="1" applyBorder="1" applyAlignment="1" applyProtection="1">
      <alignment/>
      <protection locked="0"/>
    </xf>
    <xf numFmtId="181" fontId="14" fillId="0" borderId="18" xfId="0" applyNumberFormat="1" applyFont="1" applyFill="1" applyBorder="1" applyAlignment="1" applyProtection="1">
      <alignment/>
      <protection locked="0"/>
    </xf>
    <xf numFmtId="181" fontId="14" fillId="0" borderId="19" xfId="0" applyNumberFormat="1" applyFont="1" applyFill="1" applyBorder="1" applyAlignment="1" applyProtection="1">
      <alignment/>
      <protection locked="0"/>
    </xf>
    <xf numFmtId="181" fontId="14" fillId="0" borderId="163" xfId="0" applyNumberFormat="1" applyFont="1" applyFill="1" applyBorder="1" applyAlignment="1" applyProtection="1">
      <alignment/>
      <protection locked="0"/>
    </xf>
    <xf numFmtId="181" fontId="14" fillId="0" borderId="115" xfId="0" applyNumberFormat="1" applyFont="1" applyFill="1" applyBorder="1" applyAlignment="1" applyProtection="1">
      <alignment/>
      <protection locked="0"/>
    </xf>
    <xf numFmtId="181" fontId="14" fillId="0" borderId="178" xfId="0" applyNumberFormat="1" applyFont="1" applyFill="1" applyBorder="1" applyAlignment="1" applyProtection="1">
      <alignment/>
      <protection locked="0"/>
    </xf>
    <xf numFmtId="181" fontId="14" fillId="0" borderId="116" xfId="0" applyNumberFormat="1" applyFont="1" applyFill="1" applyBorder="1" applyAlignment="1" applyProtection="1">
      <alignment/>
      <protection locked="0"/>
    </xf>
    <xf numFmtId="181" fontId="14" fillId="0" borderId="179" xfId="0" applyNumberFormat="1" applyFont="1" applyFill="1" applyBorder="1" applyAlignment="1" applyProtection="1">
      <alignment/>
      <protection locked="0"/>
    </xf>
    <xf numFmtId="181" fontId="14" fillId="0" borderId="165" xfId="0" applyNumberFormat="1" applyFont="1" applyFill="1" applyBorder="1" applyAlignment="1" applyProtection="1">
      <alignment/>
      <protection locked="0"/>
    </xf>
    <xf numFmtId="181" fontId="14" fillId="0" borderId="119" xfId="0" applyNumberFormat="1" applyFont="1" applyFill="1" applyBorder="1" applyAlignment="1" applyProtection="1">
      <alignment/>
      <protection locked="0"/>
    </xf>
    <xf numFmtId="181" fontId="14" fillId="0" borderId="35" xfId="0" applyNumberFormat="1" applyFont="1" applyFill="1" applyBorder="1" applyAlignment="1" applyProtection="1">
      <alignment/>
      <protection locked="0"/>
    </xf>
    <xf numFmtId="181" fontId="14" fillId="0" borderId="36" xfId="0" applyNumberFormat="1" applyFont="1" applyFill="1" applyBorder="1" applyAlignment="1" applyProtection="1">
      <alignment/>
      <protection locked="0"/>
    </xf>
    <xf numFmtId="181" fontId="14" fillId="0" borderId="180" xfId="0" applyNumberFormat="1" applyFont="1" applyFill="1" applyBorder="1" applyAlignment="1" applyProtection="1">
      <alignment/>
      <protection locked="0"/>
    </xf>
    <xf numFmtId="181" fontId="14" fillId="0" borderId="37" xfId="0" applyNumberFormat="1" applyFont="1" applyFill="1" applyBorder="1" applyAlignment="1" applyProtection="1">
      <alignment/>
      <protection locked="0"/>
    </xf>
    <xf numFmtId="181" fontId="14" fillId="0" borderId="181" xfId="0" applyNumberFormat="1" applyFont="1" applyFill="1" applyBorder="1" applyAlignment="1" applyProtection="1">
      <alignment/>
      <protection locked="0"/>
    </xf>
    <xf numFmtId="181" fontId="14" fillId="0" borderId="182" xfId="0" applyNumberFormat="1" applyFont="1" applyFill="1" applyBorder="1" applyAlignment="1" applyProtection="1">
      <alignment/>
      <protection locked="0"/>
    </xf>
    <xf numFmtId="181" fontId="14" fillId="0" borderId="183" xfId="0" applyNumberFormat="1" applyFont="1" applyFill="1" applyBorder="1" applyAlignment="1" applyProtection="1">
      <alignment/>
      <protection locked="0"/>
    </xf>
    <xf numFmtId="181" fontId="14" fillId="0" borderId="184" xfId="0" applyNumberFormat="1" applyFont="1" applyFill="1" applyBorder="1" applyAlignment="1" applyProtection="1">
      <alignment/>
      <protection locked="0"/>
    </xf>
    <xf numFmtId="181" fontId="14" fillId="0" borderId="7" xfId="0" applyNumberFormat="1" applyFont="1" applyFill="1" applyBorder="1" applyAlignment="1" applyProtection="1">
      <alignment/>
      <protection locked="0"/>
    </xf>
    <xf numFmtId="181" fontId="14" fillId="0" borderId="5" xfId="0" applyNumberFormat="1" applyFont="1" applyFill="1" applyBorder="1" applyAlignment="1" applyProtection="1">
      <alignment/>
      <protection locked="0"/>
    </xf>
    <xf numFmtId="181" fontId="14" fillId="0" borderId="6" xfId="0" applyNumberFormat="1" applyFont="1" applyFill="1" applyBorder="1" applyAlignment="1" applyProtection="1">
      <alignment/>
      <protection locked="0"/>
    </xf>
    <xf numFmtId="181" fontId="11" fillId="0" borderId="0" xfId="0" applyNumberFormat="1" applyFont="1" applyFill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181" fontId="10" fillId="0" borderId="18" xfId="0" applyNumberFormat="1" applyFont="1" applyFill="1" applyBorder="1" applyAlignment="1" applyProtection="1">
      <alignment horizontal="left" indent="2"/>
      <protection locked="0"/>
    </xf>
    <xf numFmtId="181" fontId="10" fillId="0" borderId="142" xfId="0" applyNumberFormat="1" applyFont="1" applyFill="1" applyBorder="1" applyAlignment="1" applyProtection="1">
      <alignment/>
      <protection locked="0"/>
    </xf>
    <xf numFmtId="181" fontId="14" fillId="0" borderId="136" xfId="0" applyNumberFormat="1" applyFont="1" applyFill="1" applyBorder="1" applyAlignment="1" applyProtection="1">
      <alignment/>
      <protection locked="0"/>
    </xf>
    <xf numFmtId="186" fontId="14" fillId="0" borderId="0" xfId="0" applyNumberFormat="1" applyFont="1" applyFill="1" applyBorder="1" applyAlignment="1" applyProtection="1">
      <alignment/>
      <protection locked="0"/>
    </xf>
    <xf numFmtId="186" fontId="14" fillId="0" borderId="185" xfId="0" applyNumberFormat="1" applyFont="1" applyFill="1" applyBorder="1" applyAlignment="1" applyProtection="1">
      <alignment/>
      <protection locked="0"/>
    </xf>
    <xf numFmtId="186" fontId="14" fillId="0" borderId="186" xfId="0" applyNumberFormat="1" applyFont="1" applyFill="1" applyBorder="1" applyAlignment="1" applyProtection="1">
      <alignment/>
      <protection locked="0"/>
    </xf>
    <xf numFmtId="186" fontId="14" fillId="0" borderId="18" xfId="0" applyNumberFormat="1" applyFont="1" applyFill="1" applyBorder="1" applyAlignment="1" applyProtection="1">
      <alignment/>
      <protection locked="0"/>
    </xf>
    <xf numFmtId="186" fontId="14" fillId="0" borderId="22" xfId="0" applyNumberFormat="1" applyFont="1" applyFill="1" applyBorder="1" applyAlignment="1" applyProtection="1">
      <alignment/>
      <protection locked="0"/>
    </xf>
    <xf numFmtId="186" fontId="14" fillId="0" borderId="8" xfId="0" applyNumberFormat="1" applyFont="1" applyFill="1" applyBorder="1" applyAlignment="1" applyProtection="1">
      <alignment/>
      <protection locked="0"/>
    </xf>
    <xf numFmtId="186" fontId="14" fillId="0" borderId="187" xfId="0" applyNumberFormat="1" applyFont="1" applyFill="1" applyBorder="1" applyAlignment="1" applyProtection="1">
      <alignment/>
      <protection locked="0"/>
    </xf>
    <xf numFmtId="186" fontId="14" fillId="0" borderId="188" xfId="0" applyNumberFormat="1" applyFont="1" applyFill="1" applyBorder="1" applyAlignment="1" applyProtection="1">
      <alignment/>
      <protection locked="0"/>
    </xf>
    <xf numFmtId="186" fontId="14" fillId="0" borderId="36" xfId="0" applyNumberFormat="1" applyFont="1" applyFill="1" applyBorder="1" applyAlignment="1" applyProtection="1">
      <alignment/>
      <protection locked="0"/>
    </xf>
    <xf numFmtId="186" fontId="14" fillId="0" borderId="166" xfId="0" applyNumberFormat="1" applyFont="1" applyFill="1" applyBorder="1" applyAlignment="1" applyProtection="1">
      <alignment/>
      <protection locked="0"/>
    </xf>
    <xf numFmtId="186" fontId="14" fillId="0" borderId="169" xfId="0" applyNumberFormat="1" applyFont="1" applyFill="1" applyBorder="1" applyAlignment="1" applyProtection="1">
      <alignment/>
      <protection locked="0"/>
    </xf>
    <xf numFmtId="186" fontId="14" fillId="0" borderId="189" xfId="0" applyNumberFormat="1" applyFont="1" applyFill="1" applyBorder="1" applyAlignment="1" applyProtection="1">
      <alignment/>
      <protection locked="0"/>
    </xf>
    <xf numFmtId="186" fontId="14" fillId="0" borderId="190" xfId="0" applyNumberFormat="1" applyFont="1" applyFill="1" applyBorder="1" applyAlignment="1" applyProtection="1">
      <alignment/>
      <protection locked="0"/>
    </xf>
    <xf numFmtId="186" fontId="14" fillId="0" borderId="116" xfId="0" applyNumberFormat="1" applyFont="1" applyFill="1" applyBorder="1" applyAlignment="1" applyProtection="1">
      <alignment/>
      <protection locked="0"/>
    </xf>
    <xf numFmtId="186" fontId="14" fillId="0" borderId="164" xfId="0" applyNumberFormat="1" applyFont="1" applyFill="1" applyBorder="1" applyAlignment="1" applyProtection="1">
      <alignment/>
      <protection locked="0"/>
    </xf>
    <xf numFmtId="186" fontId="14" fillId="0" borderId="184" xfId="0" applyNumberFormat="1" applyFont="1" applyFill="1" applyBorder="1" applyAlignment="1" applyProtection="1">
      <alignment/>
      <protection locked="0"/>
    </xf>
    <xf numFmtId="186" fontId="14" fillId="0" borderId="191" xfId="0" applyNumberFormat="1" applyFont="1" applyFill="1" applyBorder="1" applyAlignment="1" applyProtection="1">
      <alignment/>
      <protection locked="0"/>
    </xf>
    <xf numFmtId="186" fontId="14" fillId="0" borderId="192" xfId="0" applyNumberFormat="1" applyFont="1" applyFill="1" applyBorder="1" applyAlignment="1" applyProtection="1">
      <alignment/>
      <protection locked="0"/>
    </xf>
    <xf numFmtId="186" fontId="14" fillId="0" borderId="0" xfId="0" applyNumberFormat="1" applyFont="1" applyAlignment="1" applyProtection="1">
      <alignment horizontal="centerContinuous"/>
      <protection locked="0"/>
    </xf>
    <xf numFmtId="186" fontId="14" fillId="0" borderId="0" xfId="0" applyNumberFormat="1" applyFont="1" applyAlignment="1" applyProtection="1" quotePrefix="1">
      <alignment horizontal="centerContinuous"/>
      <protection locked="0"/>
    </xf>
    <xf numFmtId="186" fontId="14" fillId="0" borderId="0" xfId="0" applyNumberFormat="1" applyFont="1" applyBorder="1" applyAlignment="1" applyProtection="1" quotePrefix="1">
      <alignment horizontal="centerContinuous"/>
      <protection locked="0"/>
    </xf>
    <xf numFmtId="186" fontId="14" fillId="0" borderId="0" xfId="0" applyNumberFormat="1" applyFont="1" applyBorder="1" applyAlignment="1" applyProtection="1">
      <alignment horizontal="centerContinuous"/>
      <protection locked="0"/>
    </xf>
    <xf numFmtId="186" fontId="14" fillId="0" borderId="0" xfId="0" applyNumberFormat="1" applyFont="1" applyAlignment="1" applyProtection="1">
      <alignment/>
      <protection locked="0"/>
    </xf>
    <xf numFmtId="186" fontId="14" fillId="0" borderId="0" xfId="0" applyNumberFormat="1" applyFont="1" applyBorder="1" applyAlignment="1" applyProtection="1">
      <alignment/>
      <protection locked="0"/>
    </xf>
    <xf numFmtId="186" fontId="14" fillId="0" borderId="0" xfId="27" applyNumberFormat="1" applyFont="1" applyAlignment="1" applyProtection="1">
      <alignment horizontal="centerContinuous"/>
      <protection locked="0"/>
    </xf>
    <xf numFmtId="186" fontId="14" fillId="0" borderId="0" xfId="27" applyNumberFormat="1" applyFont="1" applyProtection="1">
      <alignment/>
      <protection locked="0"/>
    </xf>
    <xf numFmtId="186" fontId="10" fillId="0" borderId="0" xfId="27" applyNumberFormat="1" applyFont="1" applyAlignment="1" applyProtection="1">
      <alignment horizontal="centerContinuous"/>
      <protection locked="0"/>
    </xf>
    <xf numFmtId="186" fontId="14" fillId="0" borderId="0" xfId="27" applyNumberFormat="1" applyFont="1" applyAlignment="1" applyProtection="1" quotePrefix="1">
      <alignment horizontal="centerContinuous"/>
      <protection locked="0"/>
    </xf>
    <xf numFmtId="186" fontId="14" fillId="0" borderId="0" xfId="27" applyNumberFormat="1" applyFont="1" applyProtection="1" quotePrefix="1">
      <alignment/>
      <protection locked="0"/>
    </xf>
    <xf numFmtId="186" fontId="10" fillId="0" borderId="0" xfId="28" applyNumberFormat="1" applyFont="1" applyProtection="1">
      <alignment/>
      <protection locked="0"/>
    </xf>
    <xf numFmtId="186" fontId="14" fillId="0" borderId="0" xfId="28" applyNumberFormat="1" applyFont="1" applyProtection="1">
      <alignment/>
      <protection locked="0"/>
    </xf>
    <xf numFmtId="186" fontId="14" fillId="0" borderId="104" xfId="28" applyNumberFormat="1" applyFont="1" applyFill="1" applyBorder="1" applyProtection="1">
      <alignment/>
      <protection locked="0"/>
    </xf>
    <xf numFmtId="186" fontId="14" fillId="0" borderId="143" xfId="28" applyNumberFormat="1" applyFont="1" applyFill="1" applyBorder="1" applyProtection="1">
      <alignment/>
      <protection locked="0"/>
    </xf>
    <xf numFmtId="186" fontId="14" fillId="0" borderId="193" xfId="28" applyNumberFormat="1" applyFont="1" applyFill="1" applyBorder="1" applyProtection="1">
      <alignment/>
      <protection locked="0"/>
    </xf>
    <xf numFmtId="186" fontId="14" fillId="0" borderId="68" xfId="28" applyNumberFormat="1" applyFont="1" applyFill="1" applyBorder="1" applyAlignment="1" applyProtection="1">
      <alignment horizontal="right"/>
      <protection locked="0"/>
    </xf>
    <xf numFmtId="186" fontId="14" fillId="0" borderId="194" xfId="28" applyNumberFormat="1" applyFont="1" applyFill="1" applyBorder="1" applyAlignment="1" applyProtection="1">
      <alignment horizontal="right"/>
      <protection locked="0"/>
    </xf>
    <xf numFmtId="186" fontId="14" fillId="0" borderId="195" xfId="28" applyNumberFormat="1" applyFont="1" applyFill="1" applyBorder="1" applyAlignment="1" applyProtection="1">
      <alignment horizontal="right"/>
      <protection locked="0"/>
    </xf>
    <xf numFmtId="186" fontId="14" fillId="0" borderId="143" xfId="28" applyNumberFormat="1" applyFont="1" applyFill="1" applyBorder="1" applyAlignment="1" applyProtection="1">
      <alignment horizontal="right"/>
      <protection locked="0"/>
    </xf>
    <xf numFmtId="186" fontId="14" fillId="0" borderId="173" xfId="28" applyNumberFormat="1" applyFont="1" applyFill="1" applyBorder="1" applyAlignment="1" applyProtection="1">
      <alignment horizontal="right"/>
      <protection locked="0"/>
    </xf>
    <xf numFmtId="186" fontId="14" fillId="0" borderId="196" xfId="28" applyNumberFormat="1" applyFont="1" applyFill="1" applyBorder="1" applyAlignment="1" applyProtection="1">
      <alignment horizontal="right"/>
      <protection locked="0"/>
    </xf>
    <xf numFmtId="186" fontId="14" fillId="0" borderId="68" xfId="28" applyNumberFormat="1" applyFont="1" applyFill="1" applyBorder="1" applyProtection="1">
      <alignment/>
      <protection locked="0"/>
    </xf>
    <xf numFmtId="186" fontId="14" fillId="0" borderId="194" xfId="28" applyNumberFormat="1" applyFont="1" applyFill="1" applyBorder="1" applyProtection="1">
      <alignment/>
      <protection locked="0"/>
    </xf>
    <xf numFmtId="186" fontId="14" fillId="0" borderId="195" xfId="28" applyNumberFormat="1" applyFont="1" applyFill="1" applyBorder="1" applyProtection="1">
      <alignment/>
      <protection locked="0"/>
    </xf>
    <xf numFmtId="186" fontId="14" fillId="0" borderId="173" xfId="28" applyNumberFormat="1" applyFont="1" applyFill="1" applyBorder="1" applyProtection="1">
      <alignment/>
      <protection locked="0"/>
    </xf>
    <xf numFmtId="186" fontId="14" fillId="0" borderId="196" xfId="28" applyNumberFormat="1" applyFont="1" applyFill="1" applyBorder="1" applyProtection="1">
      <alignment/>
      <protection locked="0"/>
    </xf>
    <xf numFmtId="186" fontId="14" fillId="0" borderId="197" xfId="28" applyNumberFormat="1" applyFont="1" applyFill="1" applyBorder="1" applyProtection="1">
      <alignment/>
      <protection locked="0"/>
    </xf>
    <xf numFmtId="186" fontId="14" fillId="0" borderId="92" xfId="28" applyNumberFormat="1" applyFont="1" applyFill="1" applyBorder="1" applyProtection="1">
      <alignment/>
      <protection locked="0"/>
    </xf>
    <xf numFmtId="186" fontId="14" fillId="0" borderId="94" xfId="28" applyNumberFormat="1" applyFont="1" applyFill="1" applyBorder="1" applyProtection="1">
      <alignment/>
      <protection locked="0"/>
    </xf>
    <xf numFmtId="186" fontId="14" fillId="0" borderId="198" xfId="28" applyNumberFormat="1" applyFont="1" applyFill="1" applyBorder="1" applyProtection="1">
      <alignment/>
      <protection locked="0"/>
    </xf>
    <xf numFmtId="186" fontId="14" fillId="0" borderId="199" xfId="28" applyNumberFormat="1" applyFont="1" applyFill="1" applyBorder="1" applyProtection="1">
      <alignment/>
      <protection locked="0"/>
    </xf>
    <xf numFmtId="186" fontId="14" fillId="0" borderId="200" xfId="28" applyNumberFormat="1" applyFont="1" applyFill="1" applyBorder="1" applyProtection="1">
      <alignment/>
      <protection locked="0"/>
    </xf>
    <xf numFmtId="186" fontId="14" fillId="0" borderId="201" xfId="28" applyNumberFormat="1" applyFont="1" applyFill="1" applyBorder="1" applyProtection="1">
      <alignment/>
      <protection locked="0"/>
    </xf>
    <xf numFmtId="186" fontId="14" fillId="0" borderId="202" xfId="28" applyNumberFormat="1" applyFont="1" applyFill="1" applyBorder="1" applyProtection="1">
      <alignment/>
      <protection locked="0"/>
    </xf>
    <xf numFmtId="186" fontId="14" fillId="0" borderId="56" xfId="28" applyNumberFormat="1" applyFont="1" applyFill="1" applyBorder="1" applyProtection="1">
      <alignment/>
      <protection locked="0"/>
    </xf>
    <xf numFmtId="186" fontId="14" fillId="0" borderId="203" xfId="28" applyNumberFormat="1" applyFont="1" applyFill="1" applyBorder="1" applyProtection="1">
      <alignment/>
      <protection locked="0"/>
    </xf>
    <xf numFmtId="186" fontId="14" fillId="0" borderId="0" xfId="27" applyNumberFormat="1" applyFont="1" applyAlignment="1" applyProtection="1">
      <alignment horizontal="left"/>
      <protection locked="0"/>
    </xf>
    <xf numFmtId="186" fontId="14" fillId="0" borderId="58" xfId="28" applyNumberFormat="1" applyFont="1" applyFill="1" applyBorder="1" applyProtection="1">
      <alignment/>
      <protection locked="0"/>
    </xf>
    <xf numFmtId="186" fontId="14" fillId="0" borderId="172" xfId="28" applyNumberFormat="1" applyFont="1" applyFill="1" applyBorder="1" applyAlignment="1" applyProtection="1">
      <alignment horizontal="right"/>
      <protection locked="0"/>
    </xf>
    <xf numFmtId="186" fontId="14" fillId="0" borderId="172" xfId="28" applyNumberFormat="1" applyFont="1" applyFill="1" applyBorder="1" applyProtection="1">
      <alignment/>
      <protection locked="0"/>
    </xf>
    <xf numFmtId="186" fontId="14" fillId="0" borderId="204" xfId="28" applyNumberFormat="1" applyFont="1" applyFill="1" applyBorder="1" applyProtection="1">
      <alignment/>
      <protection locked="0"/>
    </xf>
    <xf numFmtId="186" fontId="14" fillId="0" borderId="205" xfId="28" applyNumberFormat="1" applyFont="1" applyFill="1" applyBorder="1" applyProtection="1">
      <alignment/>
      <protection locked="0"/>
    </xf>
    <xf numFmtId="186" fontId="10" fillId="0" borderId="206" xfId="28" applyNumberFormat="1" applyFont="1" applyFill="1" applyBorder="1" applyProtection="1">
      <alignment/>
      <protection locked="0"/>
    </xf>
    <xf numFmtId="186" fontId="10" fillId="0" borderId="207" xfId="28" applyNumberFormat="1" applyFont="1" applyFill="1" applyBorder="1" applyProtection="1">
      <alignment/>
      <protection locked="0"/>
    </xf>
    <xf numFmtId="186" fontId="10" fillId="0" borderId="208" xfId="28" applyNumberFormat="1" applyFont="1" applyFill="1" applyBorder="1" applyProtection="1">
      <alignment/>
      <protection locked="0"/>
    </xf>
    <xf numFmtId="186" fontId="10" fillId="0" borderId="209" xfId="28" applyNumberFormat="1" applyFont="1" applyFill="1" applyBorder="1" applyProtection="1">
      <alignment/>
      <protection locked="0"/>
    </xf>
    <xf numFmtId="186" fontId="10" fillId="0" borderId="210" xfId="28" applyNumberFormat="1" applyFont="1" applyFill="1" applyBorder="1" applyProtection="1">
      <alignment/>
      <protection locked="0"/>
    </xf>
    <xf numFmtId="186" fontId="10" fillId="0" borderId="206" xfId="28" applyNumberFormat="1" applyFont="1" applyFill="1" applyBorder="1" applyAlignment="1" applyProtection="1" quotePrefix="1">
      <alignment horizontal="right"/>
      <protection locked="0"/>
    </xf>
    <xf numFmtId="186" fontId="10" fillId="0" borderId="208" xfId="28" applyNumberFormat="1" applyFont="1" applyFill="1" applyBorder="1" applyAlignment="1" applyProtection="1" quotePrefix="1">
      <alignment horizontal="right"/>
      <protection locked="0"/>
    </xf>
    <xf numFmtId="186" fontId="10" fillId="0" borderId="206" xfId="28" applyNumberFormat="1" applyFont="1" applyFill="1" applyBorder="1" applyAlignment="1" applyProtection="1">
      <alignment wrapText="1"/>
      <protection locked="0"/>
    </xf>
    <xf numFmtId="186" fontId="10" fillId="0" borderId="207" xfId="28" applyNumberFormat="1" applyFont="1" applyFill="1" applyBorder="1" applyAlignment="1" applyProtection="1">
      <alignment wrapText="1"/>
      <protection locked="0"/>
    </xf>
    <xf numFmtId="186" fontId="10" fillId="0" borderId="210" xfId="28" applyNumberFormat="1" applyFont="1" applyFill="1" applyBorder="1" applyAlignment="1" applyProtection="1">
      <alignment wrapText="1"/>
      <protection locked="0"/>
    </xf>
    <xf numFmtId="186" fontId="14" fillId="0" borderId="0" xfId="28" applyNumberFormat="1" applyFont="1" applyFill="1" applyBorder="1" applyProtection="1">
      <alignment/>
      <protection locked="0"/>
    </xf>
    <xf numFmtId="186" fontId="14" fillId="0" borderId="14" xfId="28" applyNumberFormat="1" applyFont="1" applyFill="1" applyBorder="1" applyProtection="1">
      <alignment/>
      <protection locked="0"/>
    </xf>
    <xf numFmtId="186" fontId="10" fillId="0" borderId="209" xfId="28" applyNumberFormat="1" applyFont="1" applyFill="1" applyBorder="1" applyAlignment="1" applyProtection="1">
      <alignment wrapText="1"/>
      <protection locked="0"/>
    </xf>
    <xf numFmtId="181" fontId="10" fillId="0" borderId="6" xfId="0" applyNumberFormat="1" applyFont="1" applyFill="1" applyBorder="1" applyAlignment="1" applyProtection="1">
      <alignment/>
      <protection locked="0"/>
    </xf>
    <xf numFmtId="181" fontId="14" fillId="0" borderId="82" xfId="0" applyNumberFormat="1" applyFont="1" applyFill="1" applyBorder="1" applyAlignment="1" applyProtection="1">
      <alignment/>
      <protection/>
    </xf>
    <xf numFmtId="181" fontId="14" fillId="0" borderId="138" xfId="0" applyNumberFormat="1" applyFont="1" applyFill="1" applyBorder="1" applyAlignment="1" applyProtection="1">
      <alignment/>
      <protection locked="0"/>
    </xf>
    <xf numFmtId="181" fontId="14" fillId="0" borderId="3" xfId="0" applyNumberFormat="1" applyFont="1" applyFill="1" applyBorder="1" applyAlignment="1" applyProtection="1">
      <alignment/>
      <protection locked="0"/>
    </xf>
    <xf numFmtId="181" fontId="14" fillId="0" borderId="139" xfId="0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centerContinuous"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82" xfId="0" applyFont="1" applyFill="1" applyBorder="1" applyAlignment="1" applyProtection="1">
      <alignment horizontal="center"/>
      <protection/>
    </xf>
    <xf numFmtId="181" fontId="11" fillId="0" borderId="2" xfId="0" applyNumberFormat="1" applyFont="1" applyFill="1" applyBorder="1" applyAlignment="1" applyProtection="1">
      <alignment/>
      <protection/>
    </xf>
    <xf numFmtId="0" fontId="11" fillId="0" borderId="139" xfId="0" applyFont="1" applyFill="1" applyBorder="1" applyAlignment="1" applyProtection="1">
      <alignment/>
      <protection/>
    </xf>
    <xf numFmtId="0" fontId="12" fillId="0" borderId="8" xfId="0" applyFont="1" applyFill="1" applyBorder="1" applyAlignment="1" applyProtection="1">
      <alignment horizontal="center"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181" fontId="12" fillId="0" borderId="8" xfId="0" applyNumberFormat="1" applyFont="1" applyFill="1" applyBorder="1" applyAlignment="1" applyProtection="1">
      <alignment horizontal="centerContinuous"/>
      <protection/>
    </xf>
    <xf numFmtId="0" fontId="11" fillId="0" borderId="24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181" fontId="12" fillId="0" borderId="112" xfId="0" applyNumberFormat="1" applyFont="1" applyFill="1" applyBorder="1" applyAlignment="1" applyProtection="1">
      <alignment horizontal="center"/>
      <protection/>
    </xf>
    <xf numFmtId="181" fontId="12" fillId="0" borderId="22" xfId="0" applyNumberFormat="1" applyFont="1" applyFill="1" applyBorder="1" applyAlignment="1" applyProtection="1" quotePrefix="1">
      <alignment horizontal="centerContinuous"/>
      <protection/>
    </xf>
    <xf numFmtId="0" fontId="12" fillId="0" borderId="24" xfId="0" applyFont="1" applyFill="1" applyBorder="1" applyAlignment="1" applyProtection="1">
      <alignment/>
      <protection/>
    </xf>
    <xf numFmtId="181" fontId="11" fillId="0" borderId="8" xfId="0" applyNumberFormat="1" applyFont="1" applyFill="1" applyBorder="1" applyAlignment="1" applyProtection="1">
      <alignment/>
      <protection/>
    </xf>
    <xf numFmtId="181" fontId="11" fillId="0" borderId="22" xfId="0" applyNumberFormat="1" applyFont="1" applyFill="1" applyBorder="1" applyAlignment="1" applyProtection="1">
      <alignment/>
      <protection/>
    </xf>
    <xf numFmtId="0" fontId="12" fillId="0" borderId="8" xfId="0" applyFont="1" applyFill="1" applyBorder="1" applyAlignment="1" applyProtection="1">
      <alignment horizontal="centerContinuous"/>
      <protection/>
    </xf>
    <xf numFmtId="0" fontId="12" fillId="0" borderId="9" xfId="0" applyFont="1" applyFill="1" applyBorder="1" applyAlignment="1" applyProtection="1">
      <alignment horizontal="centerContinuous"/>
      <protection/>
    </xf>
    <xf numFmtId="181" fontId="13" fillId="0" borderId="8" xfId="0" applyNumberFormat="1" applyFont="1" applyFill="1" applyBorder="1" applyAlignment="1" applyProtection="1">
      <alignment horizontal="center"/>
      <protection/>
    </xf>
    <xf numFmtId="181" fontId="13" fillId="0" borderId="20" xfId="0" applyNumberFormat="1" applyFont="1" applyFill="1" applyBorder="1" applyAlignment="1" applyProtection="1">
      <alignment horizontal="center"/>
      <protection/>
    </xf>
    <xf numFmtId="181" fontId="13" fillId="0" borderId="24" xfId="0" applyNumberFormat="1" applyFont="1" applyFill="1" applyBorder="1" applyAlignment="1" applyProtection="1">
      <alignment/>
      <protection/>
    </xf>
    <xf numFmtId="181" fontId="12" fillId="0" borderId="8" xfId="0" applyNumberFormat="1" applyFont="1" applyBorder="1" applyAlignment="1" applyProtection="1" quotePrefix="1">
      <alignment horizontal="center"/>
      <protection/>
    </xf>
    <xf numFmtId="180" fontId="12" fillId="0" borderId="8" xfId="0" applyNumberFormat="1" applyFont="1" applyFill="1" applyBorder="1" applyAlignment="1" applyProtection="1">
      <alignment horizontal="center"/>
      <protection/>
    </xf>
    <xf numFmtId="180" fontId="12" fillId="0" borderId="9" xfId="0" applyNumberFormat="1" applyFont="1" applyFill="1" applyBorder="1" applyAlignment="1" applyProtection="1">
      <alignment horizontal="center"/>
      <protection/>
    </xf>
    <xf numFmtId="180" fontId="12" fillId="0" borderId="0" xfId="0" applyNumberFormat="1" applyFont="1" applyFill="1" applyBorder="1" applyAlignment="1" applyProtection="1">
      <alignment horizontal="center"/>
      <protection/>
    </xf>
    <xf numFmtId="180" fontId="12" fillId="0" borderId="25" xfId="0" applyNumberFormat="1" applyFont="1" applyFill="1" applyBorder="1" applyAlignment="1" applyProtection="1" quotePrefix="1">
      <alignment horizontal="center"/>
      <protection/>
    </xf>
    <xf numFmtId="180" fontId="12" fillId="0" borderId="32" xfId="0" applyNumberFormat="1" applyFont="1" applyFill="1" applyBorder="1" applyAlignment="1" applyProtection="1">
      <alignment horizontal="center"/>
      <protection/>
    </xf>
    <xf numFmtId="0" fontId="12" fillId="0" borderId="141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/>
      <protection/>
    </xf>
    <xf numFmtId="0" fontId="12" fillId="0" borderId="140" xfId="0" applyFont="1" applyFill="1" applyBorder="1" applyAlignment="1" applyProtection="1">
      <alignment/>
      <protection/>
    </xf>
    <xf numFmtId="0" fontId="13" fillId="0" borderId="53" xfId="0" applyFont="1" applyFill="1" applyBorder="1" applyAlignment="1" applyProtection="1">
      <alignment horizontal="right"/>
      <protection/>
    </xf>
    <xf numFmtId="0" fontId="13" fillId="0" borderId="51" xfId="0" applyFont="1" applyFill="1" applyBorder="1" applyAlignment="1" applyProtection="1">
      <alignment horizontal="right"/>
      <protection/>
    </xf>
    <xf numFmtId="0" fontId="13" fillId="0" borderId="112" xfId="0" applyFont="1" applyFill="1" applyBorder="1" applyAlignment="1" applyProtection="1">
      <alignment horizontal="right"/>
      <protection/>
    </xf>
    <xf numFmtId="0" fontId="13" fillId="0" borderId="49" xfId="0" applyFont="1" applyFill="1" applyBorder="1" applyAlignment="1" applyProtection="1">
      <alignment horizontal="right"/>
      <protection/>
    </xf>
    <xf numFmtId="181" fontId="15" fillId="0" borderId="8" xfId="0" applyNumberFormat="1" applyFont="1" applyFill="1" applyBorder="1" applyAlignment="1" applyProtection="1">
      <alignment horizontal="right"/>
      <protection/>
    </xf>
    <xf numFmtId="0" fontId="11" fillId="0" borderId="53" xfId="0" applyFont="1" applyFill="1" applyBorder="1" applyAlignment="1" applyProtection="1">
      <alignment/>
      <protection/>
    </xf>
    <xf numFmtId="0" fontId="25" fillId="0" borderId="8" xfId="0" applyFont="1" applyFill="1" applyBorder="1" applyAlignment="1" applyProtection="1">
      <alignment/>
      <protection/>
    </xf>
    <xf numFmtId="0" fontId="25" fillId="0" borderId="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right"/>
      <protection/>
    </xf>
    <xf numFmtId="0" fontId="13" fillId="0" borderId="18" xfId="0" applyFont="1" applyFill="1" applyBorder="1" applyAlignment="1" applyProtection="1">
      <alignment horizontal="right"/>
      <protection/>
    </xf>
    <xf numFmtId="0" fontId="13" fillId="0" borderId="22" xfId="0" applyFont="1" applyFill="1" applyBorder="1" applyAlignment="1" applyProtection="1">
      <alignment horizontal="right"/>
      <protection/>
    </xf>
    <xf numFmtId="0" fontId="13" fillId="0" borderId="19" xfId="0" applyFont="1" applyFill="1" applyBorder="1" applyAlignment="1" applyProtection="1">
      <alignment horizontal="right"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8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186" fontId="10" fillId="0" borderId="8" xfId="0" applyNumberFormat="1" applyFont="1" applyFill="1" applyBorder="1" applyAlignment="1" applyProtection="1">
      <alignment/>
      <protection/>
    </xf>
    <xf numFmtId="186" fontId="10" fillId="0" borderId="9" xfId="0" applyNumberFormat="1" applyFont="1" applyFill="1" applyBorder="1" applyAlignment="1" applyProtection="1">
      <alignment/>
      <protection/>
    </xf>
    <xf numFmtId="186" fontId="10" fillId="0" borderId="0" xfId="0" applyNumberFormat="1" applyFont="1" applyFill="1" applyBorder="1" applyAlignment="1" applyProtection="1">
      <alignment/>
      <protection/>
    </xf>
    <xf numFmtId="186" fontId="10" fillId="0" borderId="24" xfId="0" applyNumberFormat="1" applyFont="1" applyFill="1" applyBorder="1" applyAlignment="1" applyProtection="1">
      <alignment/>
      <protection/>
    </xf>
    <xf numFmtId="186" fontId="10" fillId="0" borderId="33" xfId="0" applyNumberFormat="1" applyFont="1" applyFill="1" applyBorder="1" applyAlignment="1" applyProtection="1">
      <alignment/>
      <protection/>
    </xf>
    <xf numFmtId="186" fontId="10" fillId="0" borderId="143" xfId="0" applyNumberFormat="1" applyFont="1" applyFill="1" applyBorder="1" applyAlignment="1" applyProtection="1">
      <alignment/>
      <protection/>
    </xf>
    <xf numFmtId="186" fontId="10" fillId="0" borderId="34" xfId="0" applyNumberFormat="1" applyFont="1" applyFill="1" applyBorder="1" applyAlignment="1" applyProtection="1">
      <alignment/>
      <protection/>
    </xf>
    <xf numFmtId="186" fontId="10" fillId="0" borderId="91" xfId="0" applyNumberFormat="1" applyFont="1" applyFill="1" applyBorder="1" applyAlignment="1" applyProtection="1">
      <alignment/>
      <protection/>
    </xf>
    <xf numFmtId="186" fontId="10" fillId="0" borderId="193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186" fontId="14" fillId="2" borderId="116" xfId="0" applyNumberFormat="1" applyFont="1" applyFill="1" applyBorder="1" applyAlignment="1" applyProtection="1">
      <alignment/>
      <protection/>
    </xf>
    <xf numFmtId="186" fontId="14" fillId="2" borderId="164" xfId="0" applyNumberFormat="1" applyFont="1" applyFill="1" applyBorder="1" applyAlignment="1" applyProtection="1">
      <alignment/>
      <protection/>
    </xf>
    <xf numFmtId="186" fontId="14" fillId="2" borderId="115" xfId="0" applyNumberFormat="1" applyFont="1" applyFill="1" applyBorder="1" applyAlignment="1" applyProtection="1">
      <alignment/>
      <protection/>
    </xf>
    <xf numFmtId="186" fontId="14" fillId="2" borderId="184" xfId="0" applyNumberFormat="1" applyFont="1" applyFill="1" applyBorder="1" applyAlignment="1" applyProtection="1">
      <alignment/>
      <protection/>
    </xf>
    <xf numFmtId="186" fontId="14" fillId="2" borderId="191" xfId="0" applyNumberFormat="1" applyFont="1" applyFill="1" applyBorder="1" applyAlignment="1" applyProtection="1">
      <alignment/>
      <protection/>
    </xf>
    <xf numFmtId="186" fontId="14" fillId="2" borderId="192" xfId="0" applyNumberFormat="1" applyFont="1" applyFill="1" applyBorder="1" applyAlignment="1" applyProtection="1">
      <alignment/>
      <protection/>
    </xf>
    <xf numFmtId="186" fontId="14" fillId="2" borderId="36" xfId="0" applyNumberFormat="1" applyFont="1" applyFill="1" applyBorder="1" applyAlignment="1" applyProtection="1">
      <alignment/>
      <protection/>
    </xf>
    <xf numFmtId="186" fontId="14" fillId="2" borderId="166" xfId="0" applyNumberFormat="1" applyFont="1" applyFill="1" applyBorder="1" applyAlignment="1" applyProtection="1">
      <alignment/>
      <protection/>
    </xf>
    <xf numFmtId="186" fontId="14" fillId="2" borderId="119" xfId="0" applyNumberFormat="1" applyFont="1" applyFill="1" applyBorder="1" applyAlignment="1" applyProtection="1">
      <alignment/>
      <protection/>
    </xf>
    <xf numFmtId="186" fontId="14" fillId="2" borderId="169" xfId="0" applyNumberFormat="1" applyFont="1" applyFill="1" applyBorder="1" applyAlignment="1" applyProtection="1">
      <alignment/>
      <protection/>
    </xf>
    <xf numFmtId="186" fontId="14" fillId="2" borderId="189" xfId="0" applyNumberFormat="1" applyFont="1" applyFill="1" applyBorder="1" applyAlignment="1" applyProtection="1">
      <alignment/>
      <protection/>
    </xf>
    <xf numFmtId="186" fontId="14" fillId="2" borderId="190" xfId="0" applyNumberFormat="1" applyFont="1" applyFill="1" applyBorder="1" applyAlignment="1" applyProtection="1">
      <alignment/>
      <protection/>
    </xf>
    <xf numFmtId="186" fontId="14" fillId="0" borderId="9" xfId="0" applyNumberFormat="1" applyFont="1" applyFill="1" applyBorder="1" applyAlignment="1" applyProtection="1" quotePrefix="1">
      <alignment/>
      <protection/>
    </xf>
    <xf numFmtId="186" fontId="14" fillId="0" borderId="19" xfId="0" applyNumberFormat="1" applyFont="1" applyFill="1" applyBorder="1" applyAlignment="1" applyProtection="1">
      <alignment/>
      <protection/>
    </xf>
    <xf numFmtId="186" fontId="14" fillId="0" borderId="119" xfId="0" applyNumberFormat="1" applyFont="1" applyFill="1" applyBorder="1" applyAlignment="1" applyProtection="1">
      <alignment/>
      <protection/>
    </xf>
    <xf numFmtId="186" fontId="14" fillId="0" borderId="9" xfId="0" applyNumberFormat="1" applyFont="1" applyFill="1" applyBorder="1" applyAlignment="1" applyProtection="1">
      <alignment/>
      <protection/>
    </xf>
    <xf numFmtId="186" fontId="14" fillId="0" borderId="115" xfId="0" applyNumberFormat="1" applyFont="1" applyFill="1" applyBorder="1" applyAlignment="1" applyProtection="1">
      <alignment/>
      <protection/>
    </xf>
    <xf numFmtId="186" fontId="19" fillId="0" borderId="106" xfId="0" applyNumberFormat="1" applyFont="1" applyFill="1" applyBorder="1" applyAlignment="1" applyProtection="1">
      <alignment/>
      <protection/>
    </xf>
    <xf numFmtId="186" fontId="19" fillId="0" borderId="132" xfId="0" applyNumberFormat="1" applyFont="1" applyFill="1" applyBorder="1" applyAlignment="1" applyProtection="1">
      <alignment/>
      <protection/>
    </xf>
    <xf numFmtId="186" fontId="10" fillId="0" borderId="136" xfId="0" applyNumberFormat="1" applyFont="1" applyFill="1" applyBorder="1" applyAlignment="1" applyProtection="1">
      <alignment/>
      <protection/>
    </xf>
    <xf numFmtId="186" fontId="10" fillId="0" borderId="108" xfId="0" applyNumberFormat="1" applyFont="1" applyFill="1" applyBorder="1" applyAlignment="1" applyProtection="1">
      <alignment/>
      <protection/>
    </xf>
    <xf numFmtId="186" fontId="10" fillId="0" borderId="135" xfId="0" applyNumberFormat="1" applyFont="1" applyFill="1" applyBorder="1" applyAlignment="1" applyProtection="1">
      <alignment/>
      <protection/>
    </xf>
    <xf numFmtId="186" fontId="10" fillId="0" borderId="132" xfId="0" applyNumberFormat="1" applyFont="1" applyFill="1" applyBorder="1" applyAlignment="1" applyProtection="1">
      <alignment/>
      <protection/>
    </xf>
    <xf numFmtId="186" fontId="10" fillId="0" borderId="107" xfId="0" applyNumberFormat="1" applyFont="1" applyFill="1" applyBorder="1" applyAlignment="1" applyProtection="1">
      <alignment/>
      <protection/>
    </xf>
    <xf numFmtId="186" fontId="10" fillId="0" borderId="106" xfId="0" applyNumberFormat="1" applyFont="1" applyFill="1" applyBorder="1" applyAlignment="1" applyProtection="1">
      <alignment/>
      <protection/>
    </xf>
    <xf numFmtId="186" fontId="10" fillId="0" borderId="211" xfId="0" applyNumberFormat="1" applyFont="1" applyFill="1" applyBorder="1" applyAlignment="1" applyProtection="1">
      <alignment/>
      <protection/>
    </xf>
    <xf numFmtId="186" fontId="16" fillId="0" borderId="0" xfId="27" applyNumberFormat="1" applyFont="1" applyAlignment="1" applyProtection="1">
      <alignment horizontal="centerContinuous"/>
      <protection/>
    </xf>
    <xf numFmtId="186" fontId="10" fillId="0" borderId="212" xfId="28" applyNumberFormat="1" applyFont="1" applyBorder="1" applyAlignment="1" applyProtection="1">
      <alignment horizontal="center"/>
      <protection/>
    </xf>
    <xf numFmtId="186" fontId="10" fillId="0" borderId="213" xfId="28" applyNumberFormat="1" applyFont="1" applyBorder="1" applyAlignment="1" applyProtection="1">
      <alignment horizontal="center"/>
      <protection/>
    </xf>
    <xf numFmtId="186" fontId="10" fillId="0" borderId="214" xfId="28" applyNumberFormat="1" applyFont="1" applyBorder="1" applyAlignment="1" applyProtection="1">
      <alignment horizontal="center"/>
      <protection/>
    </xf>
    <xf numFmtId="186" fontId="10" fillId="0" borderId="215" xfId="28" applyNumberFormat="1" applyFont="1" applyBorder="1" applyAlignment="1" applyProtection="1" quotePrefix="1">
      <alignment horizontal="center"/>
      <protection/>
    </xf>
    <xf numFmtId="186" fontId="10" fillId="0" borderId="216" xfId="28" applyNumberFormat="1" applyFont="1" applyBorder="1" applyAlignment="1" applyProtection="1" quotePrefix="1">
      <alignment horizontal="center"/>
      <protection/>
    </xf>
    <xf numFmtId="186" fontId="10" fillId="0" borderId="217" xfId="28" applyNumberFormat="1" applyFont="1" applyBorder="1" applyAlignment="1" applyProtection="1" quotePrefix="1">
      <alignment horizontal="center"/>
      <protection/>
    </xf>
    <xf numFmtId="186" fontId="10" fillId="0" borderId="213" xfId="28" applyNumberFormat="1" applyFont="1" applyBorder="1" applyAlignment="1" applyProtection="1" quotePrefix="1">
      <alignment horizontal="center"/>
      <protection/>
    </xf>
    <xf numFmtId="186" fontId="10" fillId="0" borderId="214" xfId="28" applyNumberFormat="1" applyFont="1" applyBorder="1" applyAlignment="1" applyProtection="1" quotePrefix="1">
      <alignment horizontal="center"/>
      <protection/>
    </xf>
    <xf numFmtId="186" fontId="10" fillId="0" borderId="145" xfId="28" applyNumberFormat="1" applyFont="1" applyBorder="1" applyAlignment="1" applyProtection="1" quotePrefix="1">
      <alignment horizontal="center"/>
      <protection/>
    </xf>
    <xf numFmtId="186" fontId="10" fillId="0" borderId="218" xfId="28" applyNumberFormat="1" applyFont="1" applyBorder="1" applyAlignment="1" applyProtection="1" quotePrefix="1">
      <alignment horizontal="center"/>
      <protection/>
    </xf>
    <xf numFmtId="186" fontId="10" fillId="0" borderId="104" xfId="28" applyNumberFormat="1" applyFont="1" applyBorder="1" applyAlignment="1" applyProtection="1">
      <alignment horizontal="center"/>
      <protection/>
    </xf>
    <xf numFmtId="186" fontId="10" fillId="0" borderId="143" xfId="28" applyNumberFormat="1" applyFont="1" applyBorder="1" applyAlignment="1" applyProtection="1">
      <alignment horizontal="center"/>
      <protection/>
    </xf>
    <xf numFmtId="186" fontId="10" fillId="0" borderId="193" xfId="28" applyNumberFormat="1" applyFont="1" applyBorder="1" applyAlignment="1" applyProtection="1">
      <alignment horizontal="center"/>
      <protection/>
    </xf>
    <xf numFmtId="186" fontId="10" fillId="0" borderId="68" xfId="28" applyNumberFormat="1" applyFont="1" applyBorder="1" applyAlignment="1" applyProtection="1" quotePrefix="1">
      <alignment horizontal="center"/>
      <protection/>
    </xf>
    <xf numFmtId="186" fontId="10" fillId="0" borderId="194" xfId="28" applyNumberFormat="1" applyFont="1" applyBorder="1" applyAlignment="1" applyProtection="1" quotePrefix="1">
      <alignment horizontal="center"/>
      <protection/>
    </xf>
    <xf numFmtId="186" fontId="10" fillId="0" borderId="195" xfId="28" applyNumberFormat="1" applyFont="1" applyBorder="1" applyAlignment="1" applyProtection="1" quotePrefix="1">
      <alignment horizontal="center"/>
      <protection/>
    </xf>
    <xf numFmtId="186" fontId="10" fillId="0" borderId="143" xfId="28" applyNumberFormat="1" applyFont="1" applyBorder="1" applyAlignment="1" applyProtection="1" quotePrefix="1">
      <alignment horizontal="center"/>
      <protection/>
    </xf>
    <xf numFmtId="186" fontId="10" fillId="0" borderId="173" xfId="28" applyNumberFormat="1" applyFont="1" applyBorder="1" applyAlignment="1" applyProtection="1" quotePrefix="1">
      <alignment horizontal="center"/>
      <protection/>
    </xf>
    <xf numFmtId="186" fontId="10" fillId="0" borderId="196" xfId="28" applyNumberFormat="1" applyFont="1" applyBorder="1" applyAlignment="1" applyProtection="1" quotePrefix="1">
      <alignment horizontal="center"/>
      <protection/>
    </xf>
    <xf numFmtId="180" fontId="12" fillId="0" borderId="126" xfId="0" applyNumberFormat="1" applyFont="1" applyFill="1" applyBorder="1" applyAlignment="1" applyProtection="1">
      <alignment horizontal="center"/>
      <protection/>
    </xf>
    <xf numFmtId="180" fontId="10" fillId="0" borderId="92" xfId="28" applyNumberFormat="1" applyFont="1" applyBorder="1" applyAlignment="1" applyProtection="1">
      <alignment horizontal="center"/>
      <protection/>
    </xf>
    <xf numFmtId="180" fontId="10" fillId="0" borderId="94" xfId="28" applyNumberFormat="1" applyFont="1" applyBorder="1" applyAlignment="1" applyProtection="1">
      <alignment horizontal="center"/>
      <protection/>
    </xf>
    <xf numFmtId="180" fontId="10" fillId="0" borderId="198" xfId="28" applyNumberFormat="1" applyFont="1" applyBorder="1" applyAlignment="1" applyProtection="1" quotePrefix="1">
      <alignment horizontal="center"/>
      <protection/>
    </xf>
    <xf numFmtId="180" fontId="10" fillId="0" borderId="199" xfId="28" applyNumberFormat="1" applyFont="1" applyBorder="1" applyAlignment="1" applyProtection="1" quotePrefix="1">
      <alignment horizontal="center"/>
      <protection/>
    </xf>
    <xf numFmtId="180" fontId="10" fillId="0" borderId="200" xfId="28" applyNumberFormat="1" applyFont="1" applyBorder="1" applyAlignment="1" applyProtection="1" quotePrefix="1">
      <alignment horizontal="center"/>
      <protection/>
    </xf>
    <xf numFmtId="180" fontId="10" fillId="0" borderId="92" xfId="28" applyNumberFormat="1" applyFont="1" applyBorder="1" applyAlignment="1" applyProtection="1" quotePrefix="1">
      <alignment horizontal="center"/>
      <protection/>
    </xf>
    <xf numFmtId="180" fontId="10" fillId="0" borderId="201" xfId="28" applyNumberFormat="1" applyFont="1" applyBorder="1" applyAlignment="1" applyProtection="1" quotePrefix="1">
      <alignment horizontal="center"/>
      <protection/>
    </xf>
    <xf numFmtId="180" fontId="10" fillId="0" borderId="202" xfId="28" applyNumberFormat="1" applyFont="1" applyBorder="1" applyAlignment="1" applyProtection="1" quotePrefix="1">
      <alignment horizontal="center"/>
      <protection/>
    </xf>
    <xf numFmtId="186" fontId="14" fillId="0" borderId="143" xfId="28" applyNumberFormat="1" applyFont="1" applyFill="1" applyBorder="1" applyProtection="1">
      <alignment/>
      <protection/>
    </xf>
    <xf numFmtId="186" fontId="14" fillId="0" borderId="193" xfId="28" applyNumberFormat="1" applyFont="1" applyFill="1" applyBorder="1" applyProtection="1">
      <alignment/>
      <protection/>
    </xf>
    <xf numFmtId="186" fontId="15" fillId="0" borderId="68" xfId="28" applyNumberFormat="1" applyFont="1" applyFill="1" applyBorder="1" applyAlignment="1" applyProtection="1">
      <alignment horizontal="right"/>
      <protection/>
    </xf>
    <xf numFmtId="186" fontId="15" fillId="0" borderId="194" xfId="28" applyNumberFormat="1" applyFont="1" applyFill="1" applyBorder="1" applyAlignment="1" applyProtection="1">
      <alignment horizontal="right"/>
      <protection/>
    </xf>
    <xf numFmtId="186" fontId="15" fillId="0" borderId="195" xfId="28" applyNumberFormat="1" applyFont="1" applyFill="1" applyBorder="1" applyAlignment="1" applyProtection="1">
      <alignment horizontal="right"/>
      <protection/>
    </xf>
    <xf numFmtId="186" fontId="15" fillId="0" borderId="173" xfId="28" applyNumberFormat="1" applyFont="1" applyFill="1" applyBorder="1" applyAlignment="1" applyProtection="1">
      <alignment horizontal="right"/>
      <protection/>
    </xf>
    <xf numFmtId="186" fontId="15" fillId="0" borderId="196" xfId="28" applyNumberFormat="1" applyFont="1" applyFill="1" applyBorder="1" applyAlignment="1" applyProtection="1">
      <alignment horizontal="right"/>
      <protection/>
    </xf>
    <xf numFmtId="186" fontId="10" fillId="0" borderId="219" xfId="28" applyNumberFormat="1" applyFont="1" applyBorder="1" applyProtection="1">
      <alignment/>
      <protection/>
    </xf>
    <xf numFmtId="186" fontId="10" fillId="2" borderId="220" xfId="28" applyNumberFormat="1" applyFont="1" applyFill="1" applyBorder="1" applyProtection="1">
      <alignment/>
      <protection/>
    </xf>
    <xf numFmtId="186" fontId="10" fillId="0" borderId="220" xfId="28" applyNumberFormat="1" applyFont="1" applyBorder="1" applyProtection="1">
      <alignment/>
      <protection/>
    </xf>
    <xf numFmtId="186" fontId="10" fillId="2" borderId="221" xfId="28" applyNumberFormat="1" applyFont="1" applyFill="1" applyBorder="1" applyProtection="1">
      <alignment/>
      <protection/>
    </xf>
    <xf numFmtId="186" fontId="10" fillId="0" borderId="222" xfId="28" applyNumberFormat="1" applyFont="1" applyBorder="1" applyProtection="1">
      <alignment/>
      <protection/>
    </xf>
    <xf numFmtId="186" fontId="10" fillId="0" borderId="223" xfId="28" applyNumberFormat="1" applyFont="1" applyBorder="1" applyProtection="1">
      <alignment/>
      <protection/>
    </xf>
    <xf numFmtId="186" fontId="10" fillId="0" borderId="224" xfId="28" applyNumberFormat="1" applyFont="1" applyBorder="1" applyProtection="1">
      <alignment/>
      <protection/>
    </xf>
    <xf numFmtId="186" fontId="10" fillId="0" borderId="225" xfId="28" applyNumberFormat="1" applyFont="1" applyBorder="1" applyProtection="1">
      <alignment/>
      <protection/>
    </xf>
    <xf numFmtId="186" fontId="10" fillId="0" borderId="226" xfId="28" applyNumberFormat="1" applyFont="1" applyBorder="1" applyProtection="1">
      <alignment/>
      <protection/>
    </xf>
    <xf numFmtId="186" fontId="10" fillId="0" borderId="227" xfId="28" applyNumberFormat="1" applyFont="1" applyBorder="1" applyAlignment="1" applyProtection="1" quotePrefix="1">
      <alignment horizontal="center"/>
      <protection/>
    </xf>
    <xf numFmtId="186" fontId="10" fillId="0" borderId="193" xfId="28" applyNumberFormat="1" applyFont="1" applyBorder="1" applyAlignment="1" applyProtection="1" quotePrefix="1">
      <alignment horizontal="center"/>
      <protection/>
    </xf>
    <xf numFmtId="186" fontId="10" fillId="0" borderId="56" xfId="28" applyNumberFormat="1" applyFont="1" applyBorder="1" applyAlignment="1" applyProtection="1" quotePrefix="1">
      <alignment horizontal="center"/>
      <protection/>
    </xf>
    <xf numFmtId="180" fontId="12" fillId="0" borderId="154" xfId="0" applyNumberFormat="1" applyFont="1" applyFill="1" applyBorder="1" applyAlignment="1" applyProtection="1">
      <alignment horizontal="center"/>
      <protection/>
    </xf>
    <xf numFmtId="180" fontId="10" fillId="0" borderId="94" xfId="28" applyNumberFormat="1" applyFont="1" applyBorder="1" applyAlignment="1" applyProtection="1" quotePrefix="1">
      <alignment horizontal="center"/>
      <protection/>
    </xf>
    <xf numFmtId="186" fontId="15" fillId="0" borderId="193" xfId="28" applyNumberFormat="1" applyFont="1" applyFill="1" applyBorder="1" applyAlignment="1" applyProtection="1">
      <alignment horizontal="right"/>
      <protection/>
    </xf>
    <xf numFmtId="186" fontId="15" fillId="0" borderId="228" xfId="28" applyNumberFormat="1" applyFont="1" applyFill="1" applyBorder="1" applyAlignment="1" applyProtection="1">
      <alignment horizontal="right"/>
      <protection/>
    </xf>
    <xf numFmtId="186" fontId="15" fillId="0" borderId="149" xfId="28" applyNumberFormat="1" applyFont="1" applyFill="1" applyBorder="1" applyAlignment="1" applyProtection="1">
      <alignment horizontal="right"/>
      <protection/>
    </xf>
    <xf numFmtId="186" fontId="10" fillId="2" borderId="229" xfId="28" applyNumberFormat="1" applyFont="1" applyFill="1" applyBorder="1" applyProtection="1">
      <alignment/>
      <protection/>
    </xf>
    <xf numFmtId="186" fontId="10" fillId="0" borderId="229" xfId="28" applyNumberFormat="1" applyFont="1" applyBorder="1" applyProtection="1">
      <alignment/>
      <protection/>
    </xf>
    <xf numFmtId="186" fontId="10" fillId="2" borderId="72" xfId="28" applyNumberFormat="1" applyFont="1" applyFill="1" applyBorder="1" applyProtection="1">
      <alignment/>
      <protection/>
    </xf>
    <xf numFmtId="186" fontId="10" fillId="2" borderId="162" xfId="28" applyNumberFormat="1" applyFont="1" applyFill="1" applyBorder="1" applyProtection="1">
      <alignment/>
      <protection/>
    </xf>
    <xf numFmtId="186" fontId="23" fillId="0" borderId="0" xfId="28" applyNumberFormat="1" applyFont="1" applyProtection="1">
      <alignment/>
      <protection/>
    </xf>
    <xf numFmtId="186" fontId="10" fillId="0" borderId="230" xfId="28" applyNumberFormat="1" applyFont="1" applyBorder="1" applyAlignment="1" applyProtection="1">
      <alignment horizontal="center"/>
      <protection/>
    </xf>
    <xf numFmtId="186" fontId="10" fillId="0" borderId="231" xfId="28" applyNumberFormat="1" applyFont="1" applyBorder="1" applyAlignment="1" applyProtection="1" quotePrefix="1">
      <alignment horizontal="center"/>
      <protection/>
    </xf>
    <xf numFmtId="186" fontId="10" fillId="0" borderId="58" xfId="28" applyNumberFormat="1" applyFont="1" applyBorder="1" applyAlignment="1" applyProtection="1">
      <alignment horizontal="center"/>
      <protection/>
    </xf>
    <xf numFmtId="186" fontId="10" fillId="0" borderId="172" xfId="28" applyNumberFormat="1" applyFont="1" applyBorder="1" applyAlignment="1" applyProtection="1" quotePrefix="1">
      <alignment horizontal="center"/>
      <protection/>
    </xf>
    <xf numFmtId="180" fontId="10" fillId="0" borderId="204" xfId="28" applyNumberFormat="1" applyFont="1" applyBorder="1" applyAlignment="1" applyProtection="1">
      <alignment horizontal="center"/>
      <protection/>
    </xf>
    <xf numFmtId="180" fontId="10" fillId="0" borderId="205" xfId="28" applyNumberFormat="1" applyFont="1" applyBorder="1" applyAlignment="1" applyProtection="1" quotePrefix="1">
      <alignment horizontal="center"/>
      <protection/>
    </xf>
    <xf numFmtId="186" fontId="15" fillId="0" borderId="172" xfId="28" applyNumberFormat="1" applyFont="1" applyFill="1" applyBorder="1" applyAlignment="1" applyProtection="1">
      <alignment horizontal="right"/>
      <protection/>
    </xf>
    <xf numFmtId="186" fontId="10" fillId="0" borderId="232" xfId="28" applyNumberFormat="1" applyFont="1" applyBorder="1" applyProtection="1">
      <alignment/>
      <protection/>
    </xf>
    <xf numFmtId="186" fontId="10" fillId="0" borderId="209" xfId="28" applyNumberFormat="1" applyFont="1" applyBorder="1" applyProtection="1">
      <alignment/>
      <protection/>
    </xf>
    <xf numFmtId="186" fontId="10" fillId="2" borderId="143" xfId="28" applyNumberFormat="1" applyFont="1" applyFill="1" applyBorder="1" applyProtection="1">
      <alignment/>
      <protection/>
    </xf>
    <xf numFmtId="186" fontId="10" fillId="2" borderId="143" xfId="28" applyNumberFormat="1" applyFont="1" applyFill="1" applyBorder="1" applyAlignment="1" applyProtection="1">
      <alignment wrapText="1"/>
      <protection/>
    </xf>
    <xf numFmtId="186" fontId="10" fillId="0" borderId="70" xfId="28" applyNumberFormat="1" applyFont="1" applyBorder="1" applyProtection="1">
      <alignment/>
      <protection/>
    </xf>
    <xf numFmtId="186" fontId="10" fillId="0" borderId="222" xfId="28" applyNumberFormat="1" applyFont="1" applyFill="1" applyBorder="1" applyProtection="1">
      <alignment/>
      <protection/>
    </xf>
    <xf numFmtId="186" fontId="10" fillId="0" borderId="223" xfId="28" applyNumberFormat="1" applyFont="1" applyFill="1" applyBorder="1" applyProtection="1">
      <alignment/>
      <protection/>
    </xf>
    <xf numFmtId="186" fontId="10" fillId="0" borderId="233" xfId="28" applyNumberFormat="1" applyFont="1" applyFill="1" applyBorder="1" applyProtection="1">
      <alignment/>
      <protection/>
    </xf>
    <xf numFmtId="186" fontId="10" fillId="0" borderId="220" xfId="28" applyNumberFormat="1" applyFont="1" applyFill="1" applyBorder="1" applyProtection="1">
      <alignment/>
      <protection/>
    </xf>
    <xf numFmtId="186" fontId="10" fillId="0" borderId="226" xfId="28" applyNumberFormat="1" applyFont="1" applyFill="1" applyBorder="1" applyProtection="1">
      <alignment/>
      <protection/>
    </xf>
    <xf numFmtId="186" fontId="10" fillId="0" borderId="0" xfId="28" applyNumberFormat="1" applyFont="1" applyBorder="1" applyAlignment="1" applyProtection="1" quotePrefix="1">
      <alignment horizontal="center"/>
      <protection/>
    </xf>
    <xf numFmtId="186" fontId="14" fillId="0" borderId="234" xfId="28" applyNumberFormat="1" applyFont="1" applyFill="1" applyBorder="1" applyProtection="1">
      <alignment/>
      <protection/>
    </xf>
    <xf numFmtId="186" fontId="14" fillId="0" borderId="167" xfId="28" applyNumberFormat="1" applyFont="1" applyFill="1" applyBorder="1" applyProtection="1">
      <alignment/>
      <protection/>
    </xf>
    <xf numFmtId="186" fontId="14" fillId="0" borderId="184" xfId="28" applyNumberFormat="1" applyFont="1" applyFill="1" applyBorder="1" applyProtection="1">
      <alignment/>
      <protection/>
    </xf>
    <xf numFmtId="186" fontId="10" fillId="2" borderId="0" xfId="28" applyNumberFormat="1" applyFont="1" applyFill="1" applyBorder="1" applyProtection="1">
      <alignment/>
      <protection/>
    </xf>
    <xf numFmtId="186" fontId="14" fillId="0" borderId="143" xfId="28" applyNumberFormat="1" applyFont="1" applyBorder="1" applyProtection="1">
      <alignment/>
      <protection locked="0"/>
    </xf>
    <xf numFmtId="186" fontId="14" fillId="0" borderId="56" xfId="28" applyNumberFormat="1" applyFont="1" applyFill="1" applyBorder="1" applyAlignment="1" applyProtection="1">
      <alignment horizontal="right"/>
      <protection locked="0"/>
    </xf>
    <xf numFmtId="186" fontId="14" fillId="0" borderId="235" xfId="28" applyNumberFormat="1" applyFont="1" applyFill="1" applyBorder="1" applyProtection="1">
      <alignment/>
      <protection locked="0"/>
    </xf>
    <xf numFmtId="186" fontId="14" fillId="0" borderId="236" xfId="28" applyNumberFormat="1" applyFont="1" applyFill="1" applyBorder="1" applyProtection="1">
      <alignment/>
      <protection locked="0"/>
    </xf>
    <xf numFmtId="186" fontId="14" fillId="0" borderId="168" xfId="28" applyNumberFormat="1" applyFont="1" applyFill="1" applyBorder="1" applyProtection="1">
      <alignment/>
      <protection locked="0"/>
    </xf>
    <xf numFmtId="186" fontId="14" fillId="0" borderId="92" xfId="28" applyNumberFormat="1" applyFont="1" applyBorder="1" applyProtection="1">
      <alignment/>
      <protection locked="0"/>
    </xf>
    <xf numFmtId="181" fontId="10" fillId="0" borderId="18" xfId="0" applyNumberFormat="1" applyFont="1" applyFill="1" applyBorder="1" applyAlignment="1" applyProtection="1">
      <alignment horizontal="left" indent="1"/>
      <protection locked="0"/>
    </xf>
    <xf numFmtId="181" fontId="14" fillId="0" borderId="33" xfId="0" applyNumberFormat="1" applyFont="1" applyBorder="1" applyAlignment="1" applyProtection="1">
      <alignment/>
      <protection/>
    </xf>
    <xf numFmtId="181" fontId="14" fillId="0" borderId="193" xfId="0" applyNumberFormat="1" applyFont="1" applyBorder="1" applyAlignment="1" applyProtection="1">
      <alignment/>
      <protection/>
    </xf>
    <xf numFmtId="193" fontId="14" fillId="0" borderId="56" xfId="0" applyNumberFormat="1" applyFont="1" applyBorder="1" applyAlignment="1" applyProtection="1">
      <alignment horizontal="right"/>
      <protection/>
    </xf>
    <xf numFmtId="193" fontId="14" fillId="0" borderId="193" xfId="0" applyNumberFormat="1" applyFont="1" applyBorder="1" applyAlignment="1" applyProtection="1">
      <alignment horizontal="right"/>
      <protection/>
    </xf>
    <xf numFmtId="181" fontId="14" fillId="0" borderId="19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26" applyFont="1" applyAlignment="1" applyProtection="1">
      <alignment/>
      <protection/>
    </xf>
    <xf numFmtId="181" fontId="8" fillId="0" borderId="0" xfId="0" applyNumberFormat="1" applyFont="1" applyAlignment="1" applyProtection="1">
      <alignment horizontal="centerContinuous"/>
      <protection/>
    </xf>
    <xf numFmtId="181" fontId="8" fillId="0" borderId="0" xfId="0" applyNumberFormat="1" applyFont="1" applyBorder="1" applyAlignment="1" applyProtection="1">
      <alignment horizontal="centerContinuous"/>
      <protection/>
    </xf>
    <xf numFmtId="182" fontId="10" fillId="0" borderId="0" xfId="0" applyNumberFormat="1" applyFont="1" applyAlignment="1" applyProtection="1">
      <alignment/>
      <protection/>
    </xf>
    <xf numFmtId="181" fontId="10" fillId="0" borderId="0" xfId="0" applyNumberFormat="1" applyFont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94" fontId="10" fillId="0" borderId="0" xfId="0" applyNumberFormat="1" applyFont="1" applyAlignment="1" applyProtection="1">
      <alignment/>
      <protection/>
    </xf>
    <xf numFmtId="194" fontId="9" fillId="0" borderId="0" xfId="0" applyNumberFormat="1" applyFont="1" applyBorder="1" applyAlignment="1" applyProtection="1">
      <alignment horizontal="right"/>
      <protection/>
    </xf>
    <xf numFmtId="181" fontId="16" fillId="0" borderId="0" xfId="0" applyNumberFormat="1" applyFont="1" applyAlignment="1" applyProtection="1">
      <alignment horizontal="centerContinuous"/>
      <protection/>
    </xf>
    <xf numFmtId="181" fontId="16" fillId="0" borderId="0" xfId="0" applyNumberFormat="1" applyFont="1" applyAlignment="1" applyProtection="1">
      <alignment horizontal="centerContinuous"/>
      <protection/>
    </xf>
    <xf numFmtId="181" fontId="16" fillId="0" borderId="0" xfId="0" applyNumberFormat="1" applyFont="1" applyAlignment="1" applyProtection="1">
      <alignment/>
      <protection/>
    </xf>
    <xf numFmtId="194" fontId="16" fillId="0" borderId="0" xfId="0" applyNumberFormat="1" applyFont="1" applyAlignment="1" applyProtection="1">
      <alignment horizontal="centerContinuous"/>
      <protection/>
    </xf>
    <xf numFmtId="194" fontId="16" fillId="0" borderId="0" xfId="0" applyNumberFormat="1" applyFont="1" applyBorder="1" applyAlignment="1" applyProtection="1">
      <alignment horizontal="centerContinuous"/>
      <protection/>
    </xf>
    <xf numFmtId="182" fontId="17" fillId="0" borderId="0" xfId="0" applyNumberFormat="1" applyFont="1" applyFill="1" applyBorder="1" applyAlignment="1" applyProtection="1">
      <alignment horizontal="left"/>
      <protection/>
    </xf>
    <xf numFmtId="181" fontId="17" fillId="0" borderId="0" xfId="0" applyNumberFormat="1" applyFont="1" applyFill="1" applyBorder="1" applyAlignment="1" applyProtection="1">
      <alignment horizontal="left"/>
      <protection/>
    </xf>
    <xf numFmtId="181" fontId="14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182" fontId="14" fillId="0" borderId="8" xfId="0" applyNumberFormat="1" applyFont="1" applyBorder="1" applyAlignment="1" applyProtection="1">
      <alignment/>
      <protection/>
    </xf>
    <xf numFmtId="181" fontId="14" fillId="0" borderId="9" xfId="0" applyNumberFormat="1" applyFont="1" applyBorder="1" applyAlignment="1" applyProtection="1">
      <alignment/>
      <protection/>
    </xf>
    <xf numFmtId="181" fontId="14" fillId="0" borderId="20" xfId="0" applyNumberFormat="1" applyFont="1" applyBorder="1" applyAlignment="1" applyProtection="1">
      <alignment/>
      <protection/>
    </xf>
    <xf numFmtId="181" fontId="14" fillId="0" borderId="21" xfId="0" applyNumberFormat="1" applyFont="1" applyBorder="1" applyAlignment="1" applyProtection="1">
      <alignment/>
      <protection/>
    </xf>
    <xf numFmtId="181" fontId="14" fillId="0" borderId="18" xfId="0" applyNumberFormat="1" applyFont="1" applyBorder="1" applyAlignment="1" applyProtection="1">
      <alignment/>
      <protection/>
    </xf>
    <xf numFmtId="181" fontId="14" fillId="0" borderId="22" xfId="0" applyNumberFormat="1" applyFont="1" applyBorder="1" applyAlignment="1" applyProtection="1">
      <alignment/>
      <protection/>
    </xf>
    <xf numFmtId="181" fontId="14" fillId="0" borderId="22" xfId="0" applyNumberFormat="1" applyFont="1" applyBorder="1" applyAlignment="1" applyProtection="1">
      <alignment/>
      <protection/>
    </xf>
    <xf numFmtId="194" fontId="14" fillId="0" borderId="18" xfId="0" applyNumberFormat="1" applyFont="1" applyBorder="1" applyAlignment="1" applyProtection="1">
      <alignment/>
      <protection/>
    </xf>
    <xf numFmtId="194" fontId="14" fillId="0" borderId="19" xfId="0" applyNumberFormat="1" applyFont="1" applyBorder="1" applyAlignment="1" applyProtection="1">
      <alignment/>
      <protection/>
    </xf>
    <xf numFmtId="1" fontId="14" fillId="0" borderId="8" xfId="0" applyNumberFormat="1" applyFont="1" applyBorder="1" applyAlignment="1" applyProtection="1" quotePrefix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181" fontId="14" fillId="0" borderId="21" xfId="0" applyNumberFormat="1" applyFont="1" applyBorder="1" applyAlignment="1" applyProtection="1">
      <alignment/>
      <protection/>
    </xf>
    <xf numFmtId="181" fontId="14" fillId="0" borderId="9" xfId="0" applyNumberFormat="1" applyFont="1" applyFill="1" applyBorder="1" applyAlignment="1" applyProtection="1" quotePrefix="1">
      <alignment/>
      <protection/>
    </xf>
    <xf numFmtId="181" fontId="14" fillId="0" borderId="163" xfId="0" applyNumberFormat="1" applyFont="1" applyBorder="1" applyAlignment="1" applyProtection="1">
      <alignment/>
      <protection/>
    </xf>
    <xf numFmtId="181" fontId="14" fillId="0" borderId="178" xfId="0" applyNumberFormat="1" applyFont="1" applyBorder="1" applyAlignment="1" applyProtection="1">
      <alignment/>
      <protection/>
    </xf>
    <xf numFmtId="181" fontId="14" fillId="0" borderId="116" xfId="0" applyNumberFormat="1" applyFont="1" applyBorder="1" applyAlignment="1" applyProtection="1">
      <alignment/>
      <protection/>
    </xf>
    <xf numFmtId="181" fontId="14" fillId="0" borderId="165" xfId="0" applyNumberFormat="1" applyFont="1" applyBorder="1" applyAlignment="1" applyProtection="1">
      <alignment/>
      <protection/>
    </xf>
    <xf numFmtId="181" fontId="14" fillId="0" borderId="35" xfId="0" applyNumberFormat="1" applyFont="1" applyBorder="1" applyAlignment="1" applyProtection="1">
      <alignment/>
      <protection/>
    </xf>
    <xf numFmtId="181" fontId="14" fillId="0" borderId="36" xfId="0" applyNumberFormat="1" applyFont="1" applyBorder="1" applyAlignment="1" applyProtection="1">
      <alignment/>
      <protection/>
    </xf>
    <xf numFmtId="181" fontId="10" fillId="0" borderId="10" xfId="0" applyNumberFormat="1" applyFont="1" applyFill="1" applyBorder="1" applyAlignment="1" applyProtection="1">
      <alignment/>
      <protection/>
    </xf>
    <xf numFmtId="193" fontId="10" fillId="0" borderId="18" xfId="0" applyNumberFormat="1" applyFont="1" applyFill="1" applyBorder="1" applyAlignment="1" applyProtection="1">
      <alignment/>
      <protection/>
    </xf>
    <xf numFmtId="193" fontId="10" fillId="0" borderId="19" xfId="0" applyNumberFormat="1" applyFont="1" applyFill="1" applyBorder="1" applyAlignment="1" applyProtection="1">
      <alignment/>
      <protection/>
    </xf>
    <xf numFmtId="182" fontId="14" fillId="0" borderId="58" xfId="0" applyNumberFormat="1" applyFont="1" applyBorder="1" applyAlignment="1" applyProtection="1">
      <alignment/>
      <protection/>
    </xf>
    <xf numFmtId="181" fontId="14" fillId="0" borderId="56" xfId="0" applyNumberFormat="1" applyFont="1" applyBorder="1" applyAlignment="1" applyProtection="1">
      <alignment/>
      <protection/>
    </xf>
    <xf numFmtId="181" fontId="14" fillId="0" borderId="143" xfId="0" applyNumberFormat="1" applyFont="1" applyBorder="1" applyAlignment="1" applyProtection="1">
      <alignment/>
      <protection/>
    </xf>
    <xf numFmtId="181" fontId="14" fillId="0" borderId="146" xfId="0" applyNumberFormat="1" applyFont="1" applyBorder="1" applyAlignment="1" applyProtection="1">
      <alignment/>
      <protection/>
    </xf>
    <xf numFmtId="181" fontId="14" fillId="0" borderId="104" xfId="0" applyNumberFormat="1" applyFont="1" applyBorder="1" applyAlignment="1" applyProtection="1">
      <alignment/>
      <protection/>
    </xf>
    <xf numFmtId="181" fontId="14" fillId="0" borderId="143" xfId="0" applyNumberFormat="1" applyFont="1" applyBorder="1" applyAlignment="1" applyProtection="1">
      <alignment/>
      <protection/>
    </xf>
    <xf numFmtId="181" fontId="14" fillId="0" borderId="63" xfId="0" applyNumberFormat="1" applyFont="1" applyBorder="1" applyAlignment="1" applyProtection="1">
      <alignment/>
      <protection/>
    </xf>
    <xf numFmtId="194" fontId="14" fillId="0" borderId="104" xfId="0" applyNumberFormat="1" applyFont="1" applyBorder="1" applyAlignment="1" applyProtection="1">
      <alignment/>
      <protection/>
    </xf>
    <xf numFmtId="194" fontId="14" fillId="0" borderId="57" xfId="0" applyNumberFormat="1" applyFont="1" applyBorder="1" applyAlignment="1" applyProtection="1">
      <alignment/>
      <protection/>
    </xf>
    <xf numFmtId="181" fontId="14" fillId="0" borderId="170" xfId="0" applyNumberFormat="1" applyFont="1" applyBorder="1" applyAlignment="1" applyProtection="1">
      <alignment/>
      <protection/>
    </xf>
    <xf numFmtId="181" fontId="14" fillId="0" borderId="167" xfId="0" applyNumberFormat="1" applyFont="1" applyBorder="1" applyAlignment="1" applyProtection="1">
      <alignment/>
      <protection/>
    </xf>
    <xf numFmtId="181" fontId="14" fillId="0" borderId="237" xfId="0" applyNumberFormat="1" applyFont="1" applyBorder="1" applyAlignment="1" applyProtection="1">
      <alignment/>
      <protection/>
    </xf>
    <xf numFmtId="181" fontId="14" fillId="0" borderId="238" xfId="0" applyNumberFormat="1" applyFont="1" applyBorder="1" applyAlignment="1" applyProtection="1">
      <alignment/>
      <protection/>
    </xf>
    <xf numFmtId="181" fontId="14" fillId="0" borderId="167" xfId="0" applyNumberFormat="1" applyFont="1" applyBorder="1" applyAlignment="1" applyProtection="1">
      <alignment/>
      <protection/>
    </xf>
    <xf numFmtId="181" fontId="14" fillId="0" borderId="196" xfId="0" applyNumberFormat="1" applyFont="1" applyBorder="1" applyAlignment="1" applyProtection="1">
      <alignment/>
      <protection/>
    </xf>
    <xf numFmtId="0" fontId="14" fillId="0" borderId="58" xfId="0" applyFont="1" applyBorder="1" applyAlignment="1" applyProtection="1">
      <alignment vertical="top"/>
      <protection/>
    </xf>
    <xf numFmtId="181" fontId="14" fillId="0" borderId="172" xfId="0" applyNumberFormat="1" applyFont="1" applyBorder="1" applyAlignment="1" applyProtection="1">
      <alignment/>
      <protection/>
    </xf>
    <xf numFmtId="181" fontId="14" fillId="0" borderId="174" xfId="0" applyNumberFormat="1" applyFont="1" applyBorder="1" applyAlignment="1" applyProtection="1">
      <alignment/>
      <protection/>
    </xf>
    <xf numFmtId="181" fontId="14" fillId="0" borderId="103" xfId="0" applyNumberFormat="1" applyFont="1" applyBorder="1" applyAlignment="1" applyProtection="1">
      <alignment/>
      <protection/>
    </xf>
    <xf numFmtId="181" fontId="14" fillId="0" borderId="60" xfId="0" applyNumberFormat="1" applyFont="1" applyBorder="1" applyAlignment="1" applyProtection="1">
      <alignment/>
      <protection/>
    </xf>
    <xf numFmtId="181" fontId="14" fillId="0" borderId="61" xfId="0" applyNumberFormat="1" applyFont="1" applyBorder="1" applyAlignment="1" applyProtection="1">
      <alignment/>
      <protection/>
    </xf>
    <xf numFmtId="181" fontId="14" fillId="0" borderId="103" xfId="0" applyNumberFormat="1" applyFont="1" applyBorder="1" applyAlignment="1" applyProtection="1">
      <alignment/>
      <protection/>
    </xf>
    <xf numFmtId="181" fontId="14" fillId="0" borderId="56" xfId="0" applyNumberFormat="1" applyFont="1" applyBorder="1" applyAlignment="1" applyProtection="1">
      <alignment vertical="top"/>
      <protection/>
    </xf>
    <xf numFmtId="0" fontId="14" fillId="0" borderId="56" xfId="0" applyFont="1" applyBorder="1" applyAlignment="1" applyProtection="1">
      <alignment vertical="top"/>
      <protection/>
    </xf>
    <xf numFmtId="0" fontId="14" fillId="0" borderId="143" xfId="0" applyFont="1" applyBorder="1" applyAlignment="1" applyProtection="1">
      <alignment vertical="top"/>
      <protection/>
    </xf>
    <xf numFmtId="181" fontId="14" fillId="0" borderId="57" xfId="0" applyNumberFormat="1" applyFont="1" applyBorder="1" applyAlignment="1" applyProtection="1">
      <alignment vertical="top"/>
      <protection/>
    </xf>
    <xf numFmtId="181" fontId="14" fillId="0" borderId="33" xfId="0" applyNumberFormat="1" applyFont="1" applyBorder="1" applyAlignment="1" applyProtection="1">
      <alignment/>
      <protection/>
    </xf>
    <xf numFmtId="181" fontId="14" fillId="0" borderId="91" xfId="0" applyNumberFormat="1" applyFont="1" applyFill="1" applyBorder="1" applyAlignment="1" applyProtection="1" quotePrefix="1">
      <alignment horizontal="right"/>
      <protection locked="0"/>
    </xf>
    <xf numFmtId="181" fontId="14" fillId="0" borderId="92" xfId="0" applyNumberFormat="1" applyFont="1" applyFill="1" applyBorder="1" applyAlignment="1" applyProtection="1">
      <alignment/>
      <protection locked="0"/>
    </xf>
    <xf numFmtId="0" fontId="0" fillId="0" borderId="239" xfId="0" applyBorder="1" applyAlignment="1" applyProtection="1">
      <alignment horizontal="center"/>
      <protection locked="0"/>
    </xf>
    <xf numFmtId="181" fontId="10" fillId="0" borderId="240" xfId="0" applyNumberFormat="1" applyFont="1" applyFill="1" applyBorder="1" applyAlignment="1" applyProtection="1" quotePrefix="1">
      <alignment horizontal="centerContinuous"/>
      <protection locked="0"/>
    </xf>
    <xf numFmtId="181" fontId="10" fillId="0" borderId="84" xfId="0" applyNumberFormat="1" applyFont="1" applyFill="1" applyBorder="1" applyAlignment="1" applyProtection="1" quotePrefix="1">
      <alignment horizontal="centerContinuous"/>
      <protection locked="0"/>
    </xf>
    <xf numFmtId="181" fontId="10" fillId="0" borderId="85" xfId="0" applyNumberFormat="1" applyFont="1" applyFill="1" applyBorder="1" applyAlignment="1" applyProtection="1" quotePrefix="1">
      <alignment horizontal="centerContinuous"/>
      <protection locked="0"/>
    </xf>
    <xf numFmtId="181" fontId="10" fillId="0" borderId="86" xfId="0" applyNumberFormat="1" applyFont="1" applyFill="1" applyBorder="1" applyAlignment="1" applyProtection="1" quotePrefix="1">
      <alignment horizontal="centerContinuous"/>
      <protection locked="0"/>
    </xf>
    <xf numFmtId="181" fontId="10" fillId="0" borderId="87" xfId="0" applyNumberFormat="1" applyFont="1" applyFill="1" applyBorder="1" applyAlignment="1" applyProtection="1" quotePrefix="1">
      <alignment horizontal="centerContinuous"/>
      <protection locked="0"/>
    </xf>
    <xf numFmtId="181" fontId="10" fillId="0" borderId="88" xfId="0" applyNumberFormat="1" applyFont="1" applyFill="1" applyBorder="1" applyAlignment="1" applyProtection="1" quotePrefix="1">
      <alignment horizontal="centerContinuous"/>
      <protection locked="0"/>
    </xf>
    <xf numFmtId="181" fontId="10" fillId="0" borderId="89" xfId="0" applyNumberFormat="1" applyFont="1" applyFill="1" applyBorder="1" applyAlignment="1" applyProtection="1">
      <alignment/>
      <protection locked="0"/>
    </xf>
    <xf numFmtId="181" fontId="10" fillId="0" borderId="8" xfId="0" applyNumberFormat="1" applyFont="1" applyFill="1" applyBorder="1" applyAlignment="1" applyProtection="1">
      <alignment horizontal="centerContinuous"/>
      <protection locked="0"/>
    </xf>
    <xf numFmtId="181" fontId="10" fillId="0" borderId="0" xfId="0" applyNumberFormat="1" applyFont="1" applyFill="1" applyBorder="1" applyAlignment="1" applyProtection="1">
      <alignment horizontal="centerContinuous"/>
      <protection locked="0"/>
    </xf>
    <xf numFmtId="181" fontId="10" fillId="0" borderId="9" xfId="0" applyNumberFormat="1" applyFont="1" applyFill="1" applyBorder="1" applyAlignment="1" applyProtection="1">
      <alignment horizontal="center"/>
      <protection locked="0"/>
    </xf>
    <xf numFmtId="181" fontId="10" fillId="0" borderId="22" xfId="0" applyNumberFormat="1" applyFont="1" applyFill="1" applyBorder="1" applyAlignment="1" applyProtection="1">
      <alignment horizontal="center"/>
      <protection locked="0"/>
    </xf>
    <xf numFmtId="181" fontId="10" fillId="0" borderId="19" xfId="0" applyNumberFormat="1" applyFont="1" applyFill="1" applyBorder="1" applyAlignment="1" applyProtection="1">
      <alignment horizontal="center"/>
      <protection locked="0"/>
    </xf>
    <xf numFmtId="181" fontId="10" fillId="0" borderId="18" xfId="0" applyNumberFormat="1" applyFont="1" applyFill="1" applyBorder="1" applyAlignment="1" applyProtection="1">
      <alignment horizontal="center"/>
      <protection locked="0"/>
    </xf>
    <xf numFmtId="181" fontId="10" fillId="0" borderId="23" xfId="0" applyNumberFormat="1" applyFont="1" applyFill="1" applyBorder="1" applyAlignment="1" applyProtection="1">
      <alignment horizontal="center"/>
      <protection locked="0"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181" fontId="10" fillId="0" borderId="20" xfId="0" applyNumberFormat="1" applyFont="1" applyFill="1" applyBorder="1" applyAlignment="1" applyProtection="1">
      <alignment horizontal="center"/>
      <protection locked="0"/>
    </xf>
    <xf numFmtId="180" fontId="12" fillId="0" borderId="13" xfId="0" applyNumberFormat="1" applyFont="1" applyBorder="1" applyAlignment="1" applyProtection="1">
      <alignment horizontal="center"/>
      <protection locked="0"/>
    </xf>
    <xf numFmtId="180" fontId="12" fillId="0" borderId="26" xfId="0" applyNumberFormat="1" applyFont="1" applyBorder="1" applyAlignment="1" applyProtection="1" quotePrefix="1">
      <alignment horizontal="center"/>
      <protection locked="0"/>
    </xf>
    <xf numFmtId="180" fontId="12" fillId="0" borderId="30" xfId="0" applyNumberFormat="1" applyFont="1" applyBorder="1" applyAlignment="1" applyProtection="1" quotePrefix="1">
      <alignment horizontal="center"/>
      <protection locked="0"/>
    </xf>
    <xf numFmtId="180" fontId="12" fillId="0" borderId="31" xfId="0" applyNumberFormat="1" applyFont="1" applyBorder="1" applyAlignment="1" applyProtection="1" quotePrefix="1">
      <alignment horizontal="center"/>
      <protection locked="0"/>
    </xf>
    <xf numFmtId="180" fontId="12" fillId="0" borderId="29" xfId="0" applyNumberFormat="1" applyFont="1" applyBorder="1" applyAlignment="1" applyProtection="1" quotePrefix="1">
      <alignment horizontal="center"/>
      <protection locked="0"/>
    </xf>
    <xf numFmtId="180" fontId="12" fillId="0" borderId="27" xfId="0" applyNumberFormat="1" applyFont="1" applyBorder="1" applyAlignment="1" applyProtection="1" quotePrefix="1">
      <alignment horizontal="center"/>
      <protection locked="0"/>
    </xf>
    <xf numFmtId="180" fontId="12" fillId="0" borderId="90" xfId="0" applyNumberFormat="1" applyFont="1" applyBorder="1" applyAlignment="1" applyProtection="1" quotePrefix="1">
      <alignment horizontal="center"/>
      <protection locked="0"/>
    </xf>
    <xf numFmtId="181" fontId="10" fillId="0" borderId="32" xfId="0" applyNumberFormat="1" applyFont="1" applyFill="1" applyBorder="1" applyAlignment="1" applyProtection="1">
      <alignment/>
      <protection locked="0"/>
    </xf>
    <xf numFmtId="181" fontId="15" fillId="0" borderId="9" xfId="0" applyNumberFormat="1" applyFont="1" applyFill="1" applyBorder="1" applyAlignment="1" applyProtection="1">
      <alignment horizontal="right"/>
      <protection locked="0"/>
    </xf>
    <xf numFmtId="181" fontId="15" fillId="0" borderId="22" xfId="0" applyNumberFormat="1" applyFont="1" applyFill="1" applyBorder="1" applyAlignment="1" applyProtection="1">
      <alignment horizontal="right"/>
      <protection locked="0"/>
    </xf>
    <xf numFmtId="181" fontId="15" fillId="0" borderId="18" xfId="0" applyNumberFormat="1" applyFont="1" applyFill="1" applyBorder="1" applyAlignment="1" applyProtection="1">
      <alignment horizontal="right"/>
      <protection locked="0"/>
    </xf>
    <xf numFmtId="181" fontId="8" fillId="0" borderId="0" xfId="0" applyNumberFormat="1" applyFont="1" applyFill="1" applyAlignment="1" applyProtection="1">
      <alignment horizontal="centerContinuous"/>
      <protection/>
    </xf>
    <xf numFmtId="181" fontId="8" fillId="0" borderId="0" xfId="0" applyNumberFormat="1" applyFont="1" applyFill="1" applyBorder="1" applyAlignment="1" applyProtection="1">
      <alignment horizontal="centerContinuous"/>
      <protection/>
    </xf>
    <xf numFmtId="181" fontId="16" fillId="0" borderId="0" xfId="0" applyNumberFormat="1" applyFont="1" applyFill="1" applyAlignment="1" applyProtection="1">
      <alignment horizontal="centerContinuous"/>
      <protection/>
    </xf>
    <xf numFmtId="181" fontId="16" fillId="0" borderId="0" xfId="0" applyNumberFormat="1" applyFont="1" applyFill="1" applyBorder="1" applyAlignment="1" applyProtection="1">
      <alignment horizontal="centerContinuous"/>
      <protection/>
    </xf>
    <xf numFmtId="181" fontId="16" fillId="0" borderId="0" xfId="0" applyNumberFormat="1" applyFont="1" applyFill="1" applyAlignment="1" applyProtection="1">
      <alignment/>
      <protection/>
    </xf>
    <xf numFmtId="182" fontId="14" fillId="0" borderId="8" xfId="0" applyNumberFormat="1" applyFont="1" applyFill="1" applyBorder="1" applyAlignment="1" applyProtection="1">
      <alignment/>
      <protection/>
    </xf>
    <xf numFmtId="181" fontId="14" fillId="0" borderId="163" xfId="0" applyNumberFormat="1" applyFont="1" applyFill="1" applyBorder="1" applyAlignment="1" applyProtection="1">
      <alignment/>
      <protection/>
    </xf>
    <xf numFmtId="181" fontId="14" fillId="0" borderId="178" xfId="0" applyNumberFormat="1" applyFont="1" applyFill="1" applyBorder="1" applyAlignment="1" applyProtection="1">
      <alignment/>
      <protection/>
    </xf>
    <xf numFmtId="181" fontId="14" fillId="0" borderId="179" xfId="0" applyNumberFormat="1" applyFont="1" applyFill="1" applyBorder="1" applyAlignment="1" applyProtection="1">
      <alignment/>
      <protection/>
    </xf>
    <xf numFmtId="181" fontId="14" fillId="0" borderId="165" xfId="0" applyNumberFormat="1" applyFont="1" applyFill="1" applyBorder="1" applyAlignment="1" applyProtection="1">
      <alignment/>
      <protection/>
    </xf>
    <xf numFmtId="181" fontId="14" fillId="0" borderId="35" xfId="0" applyNumberFormat="1" applyFont="1" applyFill="1" applyBorder="1" applyAlignment="1" applyProtection="1">
      <alignment/>
      <protection/>
    </xf>
    <xf numFmtId="181" fontId="14" fillId="0" borderId="181" xfId="0" applyNumberFormat="1" applyFont="1" applyFill="1" applyBorder="1" applyAlignment="1" applyProtection="1">
      <alignment/>
      <protection/>
    </xf>
    <xf numFmtId="1" fontId="14" fillId="0" borderId="8" xfId="0" applyNumberFormat="1" applyFont="1" applyFill="1" applyBorder="1" applyAlignment="1" applyProtection="1">
      <alignment/>
      <protection/>
    </xf>
    <xf numFmtId="181" fontId="14" fillId="0" borderId="182" xfId="0" applyNumberFormat="1" applyFont="1" applyFill="1" applyBorder="1" applyAlignment="1" applyProtection="1">
      <alignment/>
      <protection/>
    </xf>
    <xf numFmtId="181" fontId="14" fillId="0" borderId="30" xfId="0" applyNumberFormat="1" applyFont="1" applyFill="1" applyBorder="1" applyAlignment="1" applyProtection="1" quotePrefix="1">
      <alignment/>
      <protection/>
    </xf>
    <xf numFmtId="181" fontId="14" fillId="0" borderId="26" xfId="0" applyNumberFormat="1" applyFont="1" applyFill="1" applyBorder="1" applyAlignment="1" applyProtection="1">
      <alignment/>
      <protection/>
    </xf>
    <xf numFmtId="181" fontId="14" fillId="0" borderId="31" xfId="0" applyNumberFormat="1" applyFont="1" applyFill="1" applyBorder="1" applyAlignment="1" applyProtection="1">
      <alignment/>
      <protection/>
    </xf>
    <xf numFmtId="181" fontId="14" fillId="0" borderId="28" xfId="0" applyNumberFormat="1" applyFont="1" applyFill="1" applyBorder="1" applyAlignment="1" applyProtection="1">
      <alignment/>
      <protection/>
    </xf>
    <xf numFmtId="181" fontId="14" fillId="0" borderId="29" xfId="0" applyNumberFormat="1" applyFont="1" applyFill="1" applyBorder="1" applyAlignment="1" applyProtection="1">
      <alignment/>
      <protection/>
    </xf>
    <xf numFmtId="181" fontId="14" fillId="0" borderId="90" xfId="0" applyNumberFormat="1" applyFont="1" applyFill="1" applyBorder="1" applyAlignment="1" applyProtection="1">
      <alignment/>
      <protection/>
    </xf>
    <xf numFmtId="181" fontId="14" fillId="0" borderId="32" xfId="0" applyNumberFormat="1" applyFont="1" applyFill="1" applyBorder="1" applyAlignment="1" applyProtection="1">
      <alignment/>
      <protection/>
    </xf>
    <xf numFmtId="181" fontId="10" fillId="0" borderId="3" xfId="0" applyNumberFormat="1" applyFont="1" applyFill="1" applyBorder="1" applyAlignment="1" applyProtection="1">
      <alignment/>
      <protection/>
    </xf>
    <xf numFmtId="181" fontId="14" fillId="0" borderId="8" xfId="0" applyNumberFormat="1" applyFont="1" applyFill="1" applyBorder="1" applyAlignment="1" applyProtection="1" quotePrefix="1">
      <alignment/>
      <protection/>
    </xf>
    <xf numFmtId="181" fontId="14" fillId="0" borderId="241" xfId="0" applyNumberFormat="1" applyFont="1" applyFill="1" applyBorder="1" applyAlignment="1" applyProtection="1">
      <alignment/>
      <protection/>
    </xf>
    <xf numFmtId="181" fontId="14" fillId="0" borderId="242" xfId="0" applyNumberFormat="1" applyFont="1" applyFill="1" applyBorder="1" applyAlignment="1" applyProtection="1">
      <alignment/>
      <protection/>
    </xf>
    <xf numFmtId="181" fontId="14" fillId="0" borderId="243" xfId="0" applyNumberFormat="1" applyFont="1" applyFill="1" applyBorder="1" applyAlignment="1" applyProtection="1">
      <alignment/>
      <protection/>
    </xf>
    <xf numFmtId="181" fontId="14" fillId="0" borderId="13" xfId="0" applyNumberFormat="1" applyFont="1" applyFill="1" applyBorder="1" applyAlignment="1" applyProtection="1" quotePrefix="1">
      <alignment/>
      <protection/>
    </xf>
    <xf numFmtId="181" fontId="14" fillId="0" borderId="11" xfId="0" applyNumberFormat="1" applyFont="1" applyFill="1" applyBorder="1" applyAlignment="1" applyProtection="1">
      <alignment/>
      <protection/>
    </xf>
    <xf numFmtId="181" fontId="14" fillId="0" borderId="10" xfId="0" applyNumberFormat="1" applyFont="1" applyFill="1" applyBorder="1" applyAlignment="1" applyProtection="1">
      <alignment/>
      <protection/>
    </xf>
    <xf numFmtId="181" fontId="10" fillId="0" borderId="96" xfId="0" applyNumberFormat="1" applyFont="1" applyFill="1" applyBorder="1" applyAlignment="1" applyProtection="1">
      <alignment/>
      <protection/>
    </xf>
    <xf numFmtId="182" fontId="10" fillId="0" borderId="244" xfId="0" applyNumberFormat="1" applyFont="1" applyFill="1" applyBorder="1" applyAlignment="1" applyProtection="1">
      <alignment/>
      <protection/>
    </xf>
    <xf numFmtId="181" fontId="10" fillId="0" borderId="244" xfId="0" applyNumberFormat="1" applyFont="1" applyFill="1" applyBorder="1" applyAlignment="1" applyProtection="1">
      <alignment/>
      <protection/>
    </xf>
    <xf numFmtId="181" fontId="10" fillId="0" borderId="82" xfId="0" applyNumberFormat="1" applyFont="1" applyFill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 horizontal="right"/>
      <protection/>
    </xf>
    <xf numFmtId="181" fontId="14" fillId="0" borderId="7" xfId="0" applyNumberFormat="1" applyFont="1" applyFill="1" applyBorder="1" applyAlignment="1" applyProtection="1">
      <alignment/>
      <protection/>
    </xf>
    <xf numFmtId="181" fontId="14" fillId="0" borderId="5" xfId="0" applyNumberFormat="1" applyFont="1" applyFill="1" applyBorder="1" applyAlignment="1" applyProtection="1">
      <alignment/>
      <protection/>
    </xf>
    <xf numFmtId="181" fontId="14" fillId="0" borderId="6" xfId="0" applyNumberFormat="1" applyFont="1" applyFill="1" applyBorder="1" applyAlignment="1" applyProtection="1">
      <alignment/>
      <protection/>
    </xf>
    <xf numFmtId="181" fontId="14" fillId="0" borderId="245" xfId="0" applyNumberFormat="1" applyFont="1" applyFill="1" applyBorder="1" applyAlignment="1" applyProtection="1">
      <alignment/>
      <protection/>
    </xf>
    <xf numFmtId="193" fontId="14" fillId="0" borderId="6" xfId="0" applyNumberFormat="1" applyFont="1" applyFill="1" applyBorder="1" applyAlignment="1" applyProtection="1">
      <alignment/>
      <protection/>
    </xf>
    <xf numFmtId="193" fontId="14" fillId="0" borderId="7" xfId="0" applyNumberFormat="1" applyFont="1" applyFill="1" applyBorder="1" applyAlignment="1" applyProtection="1">
      <alignment/>
      <protection/>
    </xf>
    <xf numFmtId="181" fontId="14" fillId="0" borderId="40" xfId="0" applyNumberFormat="1" applyFont="1" applyFill="1" applyBorder="1" applyAlignment="1" applyProtection="1">
      <alignment/>
      <protection/>
    </xf>
    <xf numFmtId="181" fontId="14" fillId="0" borderId="42" xfId="0" applyNumberFormat="1" applyFont="1" applyFill="1" applyBorder="1" applyAlignment="1" applyProtection="1">
      <alignment/>
      <protection/>
    </xf>
    <xf numFmtId="181" fontId="10" fillId="0" borderId="107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Alignment="1" applyProtection="1">
      <alignment/>
      <protection/>
    </xf>
    <xf numFmtId="181" fontId="10" fillId="0" borderId="31" xfId="0" applyNumberFormat="1" applyFont="1" applyFill="1" applyBorder="1" applyAlignment="1" applyProtection="1">
      <alignment/>
      <protection locked="0"/>
    </xf>
    <xf numFmtId="181" fontId="10" fillId="0" borderId="26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 quotePrefix="1">
      <alignment horizontal="centerContinuous"/>
      <protection/>
    </xf>
    <xf numFmtId="0" fontId="20" fillId="0" borderId="0" xfId="0" applyFont="1" applyFill="1" applyAlignment="1" applyProtection="1">
      <alignment horizontal="centerContinuous"/>
      <protection/>
    </xf>
    <xf numFmtId="0" fontId="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Continuous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80" fontId="22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86" fontId="10" fillId="0" borderId="0" xfId="0" applyNumberFormat="1" applyFont="1" applyFill="1" applyAlignment="1" applyProtection="1">
      <alignment/>
      <protection/>
    </xf>
    <xf numFmtId="186" fontId="21" fillId="0" borderId="0" xfId="0" applyNumberFormat="1" applyFont="1" applyFill="1" applyAlignment="1" applyProtection="1">
      <alignment/>
      <protection/>
    </xf>
    <xf numFmtId="186" fontId="14" fillId="0" borderId="0" xfId="0" applyNumberFormat="1" applyFont="1" applyFill="1" applyBorder="1" applyAlignment="1" applyProtection="1">
      <alignment/>
      <protection/>
    </xf>
    <xf numFmtId="186" fontId="14" fillId="0" borderId="24" xfId="0" applyNumberFormat="1" applyFont="1" applyFill="1" applyBorder="1" applyAlignment="1" applyProtection="1">
      <alignment/>
      <protection/>
    </xf>
    <xf numFmtId="186" fontId="14" fillId="0" borderId="0" xfId="0" applyNumberFormat="1" applyFont="1" applyFill="1" applyAlignment="1" applyProtection="1">
      <alignment/>
      <protection/>
    </xf>
    <xf numFmtId="186" fontId="22" fillId="0" borderId="0" xfId="0" applyNumberFormat="1" applyFont="1" applyFill="1" applyAlignment="1" applyProtection="1">
      <alignment/>
      <protection/>
    </xf>
    <xf numFmtId="186" fontId="14" fillId="0" borderId="18" xfId="0" applyNumberFormat="1" applyFont="1" applyFill="1" applyBorder="1" applyAlignment="1" applyProtection="1">
      <alignment/>
      <protection/>
    </xf>
    <xf numFmtId="186" fontId="14" fillId="0" borderId="22" xfId="0" applyNumberFormat="1" applyFont="1" applyFill="1" applyBorder="1" applyAlignment="1" applyProtection="1">
      <alignment/>
      <protection/>
    </xf>
    <xf numFmtId="186" fontId="14" fillId="0" borderId="8" xfId="0" applyNumberFormat="1" applyFont="1" applyFill="1" applyBorder="1" applyAlignment="1" applyProtection="1">
      <alignment/>
      <protection/>
    </xf>
    <xf numFmtId="186" fontId="14" fillId="0" borderId="20" xfId="0" applyNumberFormat="1" applyFont="1" applyFill="1" applyBorder="1" applyAlignment="1" applyProtection="1">
      <alignment/>
      <protection/>
    </xf>
    <xf numFmtId="186" fontId="14" fillId="0" borderId="8" xfId="0" applyNumberFormat="1" applyFont="1" applyFill="1" applyBorder="1" applyAlignment="1" applyProtection="1">
      <alignment horizontal="left"/>
      <protection/>
    </xf>
    <xf numFmtId="186" fontId="15" fillId="0" borderId="68" xfId="28" applyNumberFormat="1" applyFont="1" applyFill="1" applyBorder="1" applyAlignment="1" applyProtection="1">
      <alignment horizontal="right"/>
      <protection locked="0"/>
    </xf>
    <xf numFmtId="186" fontId="15" fillId="0" borderId="194" xfId="28" applyNumberFormat="1" applyFont="1" applyFill="1" applyBorder="1" applyAlignment="1" applyProtection="1">
      <alignment horizontal="right"/>
      <protection locked="0"/>
    </xf>
    <xf numFmtId="186" fontId="15" fillId="0" borderId="195" xfId="28" applyNumberFormat="1" applyFont="1" applyFill="1" applyBorder="1" applyAlignment="1" applyProtection="1">
      <alignment horizontal="right"/>
      <protection locked="0"/>
    </xf>
    <xf numFmtId="186" fontId="15" fillId="0" borderId="143" xfId="28" applyNumberFormat="1" applyFont="1" applyFill="1" applyBorder="1" applyAlignment="1" applyProtection="1">
      <alignment horizontal="right"/>
      <protection locked="0"/>
    </xf>
    <xf numFmtId="186" fontId="15" fillId="0" borderId="173" xfId="28" applyNumberFormat="1" applyFont="1" applyFill="1" applyBorder="1" applyAlignment="1" applyProtection="1">
      <alignment horizontal="right"/>
      <protection locked="0"/>
    </xf>
    <xf numFmtId="186" fontId="15" fillId="0" borderId="196" xfId="28" applyNumberFormat="1" applyFont="1" applyFill="1" applyBorder="1" applyAlignment="1" applyProtection="1">
      <alignment horizontal="right"/>
      <protection locked="0"/>
    </xf>
    <xf numFmtId="186" fontId="14" fillId="0" borderId="0" xfId="0" applyNumberFormat="1" applyFont="1" applyAlignment="1" applyProtection="1">
      <alignment horizontal="centerContinuous"/>
      <protection/>
    </xf>
    <xf numFmtId="186" fontId="14" fillId="0" borderId="0" xfId="0" applyNumberFormat="1" applyFont="1" applyBorder="1" applyAlignment="1" applyProtection="1">
      <alignment horizontal="centerContinuous"/>
      <protection/>
    </xf>
    <xf numFmtId="186" fontId="14" fillId="0" borderId="0" xfId="0" applyNumberFormat="1" applyFont="1" applyAlignment="1" applyProtection="1">
      <alignment/>
      <protection/>
    </xf>
    <xf numFmtId="186" fontId="14" fillId="0" borderId="0" xfId="0" applyNumberFormat="1" applyFont="1" applyBorder="1" applyAlignment="1" applyProtection="1">
      <alignment/>
      <protection/>
    </xf>
    <xf numFmtId="186" fontId="14" fillId="0" borderId="0" xfId="27" applyNumberFormat="1" applyFont="1" applyAlignment="1" applyProtection="1">
      <alignment horizontal="centerContinuous"/>
      <protection/>
    </xf>
    <xf numFmtId="186" fontId="14" fillId="0" borderId="0" xfId="27" applyNumberFormat="1" applyFont="1" applyProtection="1">
      <alignment/>
      <protection/>
    </xf>
    <xf numFmtId="186" fontId="14" fillId="0" borderId="0" xfId="27" applyNumberFormat="1" applyFont="1" applyAlignment="1" applyProtection="1">
      <alignment horizontal="left"/>
      <protection/>
    </xf>
    <xf numFmtId="186" fontId="14" fillId="0" borderId="151" xfId="28" applyNumberFormat="1" applyFont="1" applyFill="1" applyBorder="1" applyProtection="1">
      <alignment/>
      <protection/>
    </xf>
    <xf numFmtId="186" fontId="14" fillId="0" borderId="14" xfId="28" applyNumberFormat="1" applyFont="1" applyFill="1" applyBorder="1" applyProtection="1">
      <alignment/>
      <protection/>
    </xf>
    <xf numFmtId="186" fontId="14" fillId="0" borderId="104" xfId="28" applyNumberFormat="1" applyFont="1" applyBorder="1" applyProtection="1">
      <alignment/>
      <protection locked="0"/>
    </xf>
    <xf numFmtId="186" fontId="14" fillId="0" borderId="197" xfId="28" applyNumberFormat="1" applyFont="1" applyBorder="1" applyProtection="1">
      <alignment/>
      <protection locked="0"/>
    </xf>
    <xf numFmtId="181" fontId="10" fillId="0" borderId="9" xfId="0" applyNumberFormat="1" applyFont="1" applyBorder="1" applyAlignment="1" applyProtection="1">
      <alignment/>
      <protection locked="0"/>
    </xf>
    <xf numFmtId="181" fontId="10" fillId="0" borderId="48" xfId="0" applyNumberFormat="1" applyFont="1" applyBorder="1" applyAlignment="1" applyProtection="1">
      <alignment/>
      <protection locked="0"/>
    </xf>
    <xf numFmtId="181" fontId="10" fillId="0" borderId="56" xfId="0" applyNumberFormat="1" applyFont="1" applyBorder="1" applyAlignment="1" applyProtection="1">
      <alignment/>
      <protection locked="0"/>
    </xf>
    <xf numFmtId="181" fontId="10" fillId="0" borderId="56" xfId="0" applyNumberFormat="1" applyFont="1" applyBorder="1" applyAlignment="1" applyProtection="1">
      <alignment vertical="top"/>
      <protection locked="0"/>
    </xf>
    <xf numFmtId="186" fontId="14" fillId="0" borderId="143" xfId="28" applyNumberFormat="1" applyFont="1" applyFill="1" applyBorder="1" applyAlignment="1" applyProtection="1">
      <alignment vertical="top" wrapText="1"/>
      <protection locked="0"/>
    </xf>
    <xf numFmtId="186" fontId="14" fillId="0" borderId="58" xfId="28" applyNumberFormat="1" applyFont="1" applyFill="1" applyBorder="1" applyAlignment="1" applyProtection="1">
      <alignment vertical="top" wrapText="1"/>
      <protection locked="0"/>
    </xf>
    <xf numFmtId="186" fontId="10" fillId="0" borderId="143" xfId="28" applyNumberFormat="1" applyFont="1" applyBorder="1" applyAlignment="1" applyProtection="1" quotePrefix="1">
      <alignment horizontal="center" vertical="top"/>
      <protection locked="0"/>
    </xf>
    <xf numFmtId="186" fontId="10" fillId="0" borderId="143" xfId="28" applyNumberFormat="1" applyFont="1" applyBorder="1" applyAlignment="1" applyProtection="1" quotePrefix="1">
      <alignment horizontal="center"/>
      <protection locked="0"/>
    </xf>
    <xf numFmtId="182" fontId="10" fillId="0" borderId="8" xfId="0" applyNumberFormat="1" applyFont="1" applyBorder="1" applyAlignment="1">
      <alignment/>
    </xf>
    <xf numFmtId="181" fontId="10" fillId="0" borderId="9" xfId="0" applyNumberFormat="1" applyFont="1" applyBorder="1" applyAlignment="1">
      <alignment/>
    </xf>
    <xf numFmtId="182" fontId="14" fillId="0" borderId="8" xfId="0" applyNumberFormat="1" applyFont="1" applyBorder="1" applyAlignment="1">
      <alignment/>
    </xf>
    <xf numFmtId="181" fontId="14" fillId="0" borderId="9" xfId="0" applyNumberFormat="1" applyFont="1" applyBorder="1" applyAlignment="1">
      <alignment/>
    </xf>
    <xf numFmtId="181" fontId="10" fillId="0" borderId="57" xfId="0" applyNumberFormat="1" applyFont="1" applyBorder="1" applyAlignment="1" applyProtection="1">
      <alignment vertical="top"/>
      <protection/>
    </xf>
    <xf numFmtId="181" fontId="10" fillId="0" borderId="146" xfId="0" applyNumberFormat="1" applyFont="1" applyBorder="1" applyAlignment="1" applyProtection="1">
      <alignment vertical="top"/>
      <protection/>
    </xf>
    <xf numFmtId="181" fontId="10" fillId="0" borderId="104" xfId="0" applyNumberFormat="1" applyFont="1" applyBorder="1" applyAlignment="1" applyProtection="1">
      <alignment vertical="top"/>
      <protection/>
    </xf>
    <xf numFmtId="181" fontId="10" fillId="0" borderId="193" xfId="0" applyNumberFormat="1" applyFont="1" applyBorder="1" applyAlignment="1" applyProtection="1">
      <alignment vertical="top"/>
      <protection/>
    </xf>
    <xf numFmtId="181" fontId="14" fillId="0" borderId="118" xfId="0" applyNumberFormat="1" applyFont="1" applyBorder="1" applyAlignment="1" applyProtection="1">
      <alignment/>
      <protection/>
    </xf>
    <xf numFmtId="181" fontId="14" fillId="0" borderId="105" xfId="0" applyNumberFormat="1" applyFont="1" applyBorder="1" applyAlignment="1" applyProtection="1">
      <alignment/>
      <protection/>
    </xf>
    <xf numFmtId="181" fontId="14" fillId="0" borderId="191" xfId="0" applyNumberFormat="1" applyFont="1" applyFill="1" applyBorder="1" applyAlignment="1" applyProtection="1">
      <alignment/>
      <protection locked="0"/>
    </xf>
    <xf numFmtId="181" fontId="14" fillId="0" borderId="38" xfId="0" applyNumberFormat="1" applyFont="1" applyFill="1" applyBorder="1" applyAlignment="1" applyProtection="1">
      <alignment/>
      <protection locked="0"/>
    </xf>
    <xf numFmtId="181" fontId="14" fillId="0" borderId="246" xfId="0" applyNumberFormat="1" applyFont="1" applyFill="1" applyBorder="1" applyAlignment="1" applyProtection="1" quotePrefix="1">
      <alignment horizontal="right"/>
      <protection locked="0"/>
    </xf>
    <xf numFmtId="181" fontId="14" fillId="0" borderId="247" xfId="0" applyNumberFormat="1" applyFont="1" applyFill="1" applyBorder="1" applyAlignment="1" applyProtection="1" quotePrefix="1">
      <alignment horizontal="right"/>
      <protection/>
    </xf>
    <xf numFmtId="181" fontId="14" fillId="0" borderId="248" xfId="0" applyNumberFormat="1" applyFont="1" applyFill="1" applyBorder="1" applyAlignment="1" applyProtection="1" quotePrefix="1">
      <alignment horizontal="right"/>
      <protection locked="0"/>
    </xf>
    <xf numFmtId="181" fontId="14" fillId="0" borderId="249" xfId="0" applyNumberFormat="1" applyFont="1" applyFill="1" applyBorder="1" applyAlignment="1" applyProtection="1" quotePrefix="1">
      <alignment horizontal="right"/>
      <protection locked="0"/>
    </xf>
    <xf numFmtId="181" fontId="14" fillId="0" borderId="250" xfId="0" applyNumberFormat="1" applyFont="1" applyFill="1" applyBorder="1" applyAlignment="1" applyProtection="1" quotePrefix="1">
      <alignment horizontal="right"/>
      <protection/>
    </xf>
    <xf numFmtId="181" fontId="12" fillId="0" borderId="0" xfId="0" applyNumberFormat="1" applyFont="1" applyBorder="1" applyAlignment="1" applyProtection="1" quotePrefix="1">
      <alignment horizontal="center"/>
      <protection/>
    </xf>
    <xf numFmtId="181" fontId="12" fillId="0" borderId="0" xfId="0" applyNumberFormat="1" applyFont="1" applyBorder="1" applyAlignment="1" applyProtection="1">
      <alignment horizontal="center"/>
      <protection/>
    </xf>
    <xf numFmtId="181" fontId="12" fillId="0" borderId="24" xfId="0" applyNumberFormat="1" applyFont="1" applyBorder="1" applyAlignment="1" applyProtection="1">
      <alignment horizontal="center"/>
      <protection/>
    </xf>
    <xf numFmtId="181" fontId="12" fillId="0" borderId="8" xfId="0" applyNumberFormat="1" applyFont="1" applyFill="1" applyBorder="1" applyAlignment="1" applyProtection="1">
      <alignment horizontal="center"/>
      <protection/>
    </xf>
    <xf numFmtId="181" fontId="12" fillId="0" borderId="0" xfId="0" applyNumberFormat="1" applyFont="1" applyFill="1" applyBorder="1" applyAlignment="1" applyProtection="1">
      <alignment horizontal="center"/>
      <protection/>
    </xf>
    <xf numFmtId="181" fontId="12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wrapText="1"/>
      <protection/>
    </xf>
    <xf numFmtId="181" fontId="12" fillId="0" borderId="87" xfId="0" applyNumberFormat="1" applyFont="1" applyBorder="1" applyAlignment="1" applyProtection="1">
      <alignment horizontal="center" vertical="center"/>
      <protection/>
    </xf>
    <xf numFmtId="181" fontId="12" fillId="0" borderId="88" xfId="0" applyNumberFormat="1" applyFont="1" applyBorder="1" applyAlignment="1" applyProtection="1">
      <alignment horizontal="center" vertical="center"/>
      <protection/>
    </xf>
    <xf numFmtId="181" fontId="12" fillId="0" borderId="239" xfId="0" applyNumberFormat="1" applyFont="1" applyBorder="1" applyAlignment="1" applyProtection="1">
      <alignment horizontal="center" vertical="center"/>
      <protection/>
    </xf>
    <xf numFmtId="181" fontId="12" fillId="0" borderId="251" xfId="0" applyNumberFormat="1" applyFont="1" applyBorder="1" applyAlignment="1" applyProtection="1">
      <alignment horizontal="center" vertical="center"/>
      <protection/>
    </xf>
    <xf numFmtId="181" fontId="12" fillId="0" borderId="89" xfId="0" applyNumberFormat="1" applyFont="1" applyBorder="1" applyAlignment="1" applyProtection="1">
      <alignment horizontal="center" vertical="center"/>
      <protection/>
    </xf>
    <xf numFmtId="180" fontId="12" fillId="0" borderId="14" xfId="0" applyNumberFormat="1" applyFont="1" applyBorder="1" applyAlignment="1" applyProtection="1">
      <alignment horizontal="center"/>
      <protection/>
    </xf>
    <xf numFmtId="180" fontId="12" fillId="0" borderId="13" xfId="0" applyNumberFormat="1" applyFont="1" applyBorder="1" applyAlignment="1" applyProtection="1">
      <alignment horizontal="center"/>
      <protection locked="0"/>
    </xf>
    <xf numFmtId="180" fontId="12" fillId="0" borderId="14" xfId="0" applyNumberFormat="1" applyFont="1" applyBorder="1" applyAlignment="1" applyProtection="1">
      <alignment horizontal="center"/>
      <protection locked="0"/>
    </xf>
    <xf numFmtId="181" fontId="10" fillId="0" borderId="2" xfId="0" applyNumberFormat="1" applyFont="1" applyFill="1" applyBorder="1" applyAlignment="1" applyProtection="1">
      <alignment horizontal="center"/>
      <protection locked="0"/>
    </xf>
    <xf numFmtId="181" fontId="10" fillId="0" borderId="82" xfId="0" applyNumberFormat="1" applyFont="1" applyFill="1" applyBorder="1" applyAlignment="1" applyProtection="1">
      <alignment horizontal="center"/>
      <protection locked="0"/>
    </xf>
    <xf numFmtId="181" fontId="10" fillId="0" borderId="139" xfId="0" applyNumberFormat="1" applyFont="1" applyFill="1" applyBorder="1" applyAlignment="1" applyProtection="1">
      <alignment horizontal="center"/>
      <protection locked="0"/>
    </xf>
    <xf numFmtId="182" fontId="16" fillId="0" borderId="0" xfId="0" applyNumberFormat="1" applyFont="1" applyAlignment="1" applyProtection="1">
      <alignment horizontal="center"/>
      <protection/>
    </xf>
    <xf numFmtId="182" fontId="7" fillId="0" borderId="0" xfId="0" applyNumberFormat="1" applyFont="1" applyFill="1" applyAlignment="1" applyProtection="1">
      <alignment horizontal="center"/>
      <protection/>
    </xf>
    <xf numFmtId="181" fontId="7" fillId="0" borderId="0" xfId="0" applyNumberFormat="1" applyFont="1" applyFill="1" applyAlignment="1" applyProtection="1">
      <alignment horizontal="center"/>
      <protection/>
    </xf>
    <xf numFmtId="181" fontId="16" fillId="0" borderId="0" xfId="0" applyNumberFormat="1" applyFont="1" applyFill="1" applyAlignment="1" applyProtection="1">
      <alignment horizontal="center"/>
      <protection/>
    </xf>
    <xf numFmtId="180" fontId="10" fillId="0" borderId="94" xfId="28" applyNumberFormat="1" applyFont="1" applyBorder="1" applyAlignment="1" applyProtection="1" quotePrefix="1">
      <alignment horizontal="center"/>
      <protection/>
    </xf>
    <xf numFmtId="180" fontId="10" fillId="0" borderId="203" xfId="28" applyNumberFormat="1" applyFont="1" applyBorder="1" applyAlignment="1" applyProtection="1" quotePrefix="1">
      <alignment horizontal="center"/>
      <protection/>
    </xf>
    <xf numFmtId="186" fontId="10" fillId="0" borderId="94" xfId="28" applyNumberFormat="1" applyFont="1" applyBorder="1" applyAlignment="1" applyProtection="1">
      <alignment horizontal="center"/>
      <protection/>
    </xf>
    <xf numFmtId="186" fontId="10" fillId="0" borderId="14" xfId="28" applyNumberFormat="1" applyFont="1" applyBorder="1" applyAlignment="1" applyProtection="1">
      <alignment horizontal="center"/>
      <protection/>
    </xf>
    <xf numFmtId="186" fontId="10" fillId="0" borderId="252" xfId="28" applyNumberFormat="1" applyFont="1" applyBorder="1" applyAlignment="1" applyProtection="1">
      <alignment horizontal="center"/>
      <protection/>
    </xf>
    <xf numFmtId="186" fontId="10" fillId="0" borderId="193" xfId="28" applyNumberFormat="1" applyFont="1" applyBorder="1" applyAlignment="1" applyProtection="1">
      <alignment horizontal="center"/>
      <protection/>
    </xf>
    <xf numFmtId="186" fontId="10" fillId="0" borderId="0" xfId="28" applyNumberFormat="1" applyFont="1" applyBorder="1" applyAlignment="1" applyProtection="1">
      <alignment horizontal="center"/>
      <protection/>
    </xf>
    <xf numFmtId="186" fontId="10" fillId="0" borderId="63" xfId="28" applyNumberFormat="1" applyFont="1" applyBorder="1" applyAlignment="1" applyProtection="1">
      <alignment horizontal="center"/>
      <protection/>
    </xf>
    <xf numFmtId="186" fontId="10" fillId="0" borderId="56" xfId="28" applyNumberFormat="1" applyFont="1" applyBorder="1" applyAlignment="1" applyProtection="1">
      <alignment horizontal="center"/>
      <protection/>
    </xf>
    <xf numFmtId="0" fontId="14" fillId="0" borderId="193" xfId="28" applyNumberFormat="1" applyFont="1" applyFill="1" applyBorder="1" applyAlignment="1" applyProtection="1">
      <alignment horizontal="left" vertical="top" wrapText="1"/>
      <protection locked="0"/>
    </xf>
    <xf numFmtId="0" fontId="14" fillId="0" borderId="0" xfId="28" applyNumberFormat="1" applyFont="1" applyFill="1" applyBorder="1" applyAlignment="1" applyProtection="1">
      <alignment horizontal="left" vertical="top" wrapText="1"/>
      <protection locked="0"/>
    </xf>
    <xf numFmtId="180" fontId="10" fillId="0" borderId="14" xfId="28" applyNumberFormat="1" applyFont="1" applyBorder="1" applyAlignment="1" applyProtection="1" quotePrefix="1">
      <alignment horizontal="center"/>
      <protection/>
    </xf>
    <xf numFmtId="186" fontId="16" fillId="0" borderId="0" xfId="27" applyNumberFormat="1" applyFont="1" applyAlignment="1" applyProtection="1">
      <alignment horizontal="center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nnexure D" xfId="27"/>
    <cellStyle name="Normal_PL and DGF schedule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stina.daSilva@treasury.gov.za" TargetMode="External" /><Relationship Id="rId2" Type="http://schemas.openxmlformats.org/officeDocument/2006/relationships/hyperlink" Target="mailto:Conrad.Vermeulen@treasury.gov.za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60" zoomScaleNormal="60" workbookViewId="0" topLeftCell="A1">
      <selection activeCell="K11" sqref="K11"/>
    </sheetView>
  </sheetViews>
  <sheetFormatPr defaultColWidth="9.140625" defaultRowHeight="12.75"/>
  <cols>
    <col min="1" max="1" width="3.7109375" style="816" customWidth="1"/>
    <col min="2" max="4" width="9.140625" style="816" customWidth="1"/>
    <col min="5" max="5" width="10.8515625" style="816" customWidth="1"/>
    <col min="6" max="7" width="9.140625" style="816" customWidth="1"/>
    <col min="8" max="8" width="12.57421875" style="816" customWidth="1"/>
    <col min="9" max="16384" width="9.140625" style="816" customWidth="1"/>
  </cols>
  <sheetData>
    <row r="1" ht="12.75">
      <c r="A1" s="816" t="s">
        <v>186</v>
      </c>
    </row>
    <row r="2" spans="1:8" ht="27" customHeight="1">
      <c r="A2" s="817"/>
      <c r="B2" s="1030" t="s">
        <v>187</v>
      </c>
      <c r="C2" s="1030"/>
      <c r="D2" s="1030"/>
      <c r="E2" s="1030"/>
      <c r="F2" s="1030"/>
      <c r="G2" s="1030"/>
      <c r="H2" s="1030"/>
    </row>
    <row r="3" spans="1:8" ht="27" customHeight="1">
      <c r="A3" s="817"/>
      <c r="B3" s="1031" t="s">
        <v>204</v>
      </c>
      <c r="C3" s="1031"/>
      <c r="D3" s="1031"/>
      <c r="E3" s="1031"/>
      <c r="F3" s="1031"/>
      <c r="G3" s="1031"/>
      <c r="H3" s="1031"/>
    </row>
    <row r="5" ht="12.75">
      <c r="A5" s="816" t="s">
        <v>188</v>
      </c>
    </row>
    <row r="6" spans="2:6" ht="12.75">
      <c r="B6" s="816" t="s">
        <v>189</v>
      </c>
      <c r="E6" s="816" t="s">
        <v>190</v>
      </c>
      <c r="F6" s="816" t="s">
        <v>191</v>
      </c>
    </row>
    <row r="7" spans="2:6" ht="12.75">
      <c r="B7" s="816" t="s">
        <v>192</v>
      </c>
      <c r="F7" s="816" t="s">
        <v>192</v>
      </c>
    </row>
    <row r="8" spans="2:6" ht="12.75">
      <c r="B8" s="816" t="s">
        <v>193</v>
      </c>
      <c r="F8" s="816" t="s">
        <v>193</v>
      </c>
    </row>
    <row r="9" spans="2:6" ht="12.75">
      <c r="B9" s="816" t="s">
        <v>194</v>
      </c>
      <c r="F9" s="816" t="s">
        <v>194</v>
      </c>
    </row>
    <row r="10" spans="2:6" ht="12.75">
      <c r="B10" s="816" t="s">
        <v>195</v>
      </c>
      <c r="C10" s="818" t="s">
        <v>196</v>
      </c>
      <c r="F10" s="818" t="s">
        <v>197</v>
      </c>
    </row>
    <row r="11" spans="2:6" ht="12.75">
      <c r="B11" s="816" t="s">
        <v>198</v>
      </c>
      <c r="C11" s="816" t="s">
        <v>199</v>
      </c>
      <c r="F11" s="816" t="s">
        <v>199</v>
      </c>
    </row>
    <row r="12" spans="2:6" ht="12.75">
      <c r="B12" s="819" t="s">
        <v>200</v>
      </c>
      <c r="C12" s="820" t="s">
        <v>201</v>
      </c>
      <c r="F12" s="820" t="s">
        <v>202</v>
      </c>
    </row>
    <row r="13" ht="12.75">
      <c r="C13" s="816" t="s">
        <v>203</v>
      </c>
    </row>
  </sheetData>
  <sheetProtection password="CA7F" sheet="1" objects="1" scenarios="1"/>
  <mergeCells count="2">
    <mergeCell ref="B2:H2"/>
    <mergeCell ref="B3:H3"/>
  </mergeCells>
  <hyperlinks>
    <hyperlink ref="C12" r:id="rId1" display="Cristina.daSilva@treasury.gov.za"/>
    <hyperlink ref="F12" r:id="rId2" display="Conrad.Vermeulen@treasury.gov.za"/>
  </hyperlinks>
  <printOptions/>
  <pageMargins left="0.75" right="0.75" top="1" bottom="1" header="0.5" footer="0.5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="50" zoomScaleNormal="50" workbookViewId="0" topLeftCell="A33">
      <selection activeCell="A49" sqref="A49"/>
    </sheetView>
  </sheetViews>
  <sheetFormatPr defaultColWidth="9.140625" defaultRowHeight="12.75"/>
  <cols>
    <col min="1" max="1" width="45.7109375" style="585" customWidth="1"/>
    <col min="2" max="2" width="15.7109375" style="585" customWidth="1"/>
    <col min="3" max="3" width="45.7109375" style="585" customWidth="1"/>
    <col min="4" max="10" width="15.7109375" style="585" customWidth="1"/>
    <col min="11" max="16384" width="9.140625" style="585" customWidth="1"/>
  </cols>
  <sheetData>
    <row r="1" spans="1:31" s="577" customFormat="1" ht="24.75">
      <c r="A1" s="1" t="str">
        <f>'Schedule 1 '!A1</f>
        <v>VOTE:  21  DEFENCE</v>
      </c>
      <c r="B1" s="573"/>
      <c r="C1" s="573"/>
      <c r="D1" s="573"/>
      <c r="E1" s="573"/>
      <c r="F1" s="574"/>
      <c r="G1" s="573"/>
      <c r="H1" s="575"/>
      <c r="I1" s="573"/>
      <c r="J1" s="573"/>
      <c r="K1" s="574" t="s">
        <v>68</v>
      </c>
      <c r="L1" s="574" t="s">
        <v>68</v>
      </c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6"/>
      <c r="Z1" s="576"/>
      <c r="AA1" s="576"/>
      <c r="AB1" s="573"/>
      <c r="AE1" s="578"/>
    </row>
    <row r="2" spans="1:10" s="580" customFormat="1" ht="18">
      <c r="A2" s="579"/>
      <c r="B2" s="579"/>
      <c r="C2" s="579"/>
      <c r="D2" s="579"/>
      <c r="E2" s="579"/>
      <c r="F2" s="579"/>
      <c r="H2" s="579"/>
      <c r="I2" s="579"/>
      <c r="J2" s="363" t="s">
        <v>66</v>
      </c>
    </row>
    <row r="3" spans="1:11" s="580" customFormat="1" ht="22.5">
      <c r="A3" s="724" t="s">
        <v>118</v>
      </c>
      <c r="B3" s="581"/>
      <c r="C3" s="581"/>
      <c r="D3" s="581"/>
      <c r="E3" s="581"/>
      <c r="F3" s="579"/>
      <c r="G3" s="579"/>
      <c r="H3" s="582"/>
      <c r="I3" s="579"/>
      <c r="J3" s="579"/>
      <c r="K3" s="582" t="s">
        <v>68</v>
      </c>
    </row>
    <row r="4" spans="1:5" s="580" customFormat="1" ht="18">
      <c r="A4" s="610"/>
      <c r="B4" s="610"/>
      <c r="C4" s="610"/>
      <c r="D4" s="610"/>
      <c r="E4" s="610"/>
    </row>
    <row r="5" spans="1:10" ht="18.75" thickBot="1">
      <c r="A5" s="364" t="s">
        <v>119</v>
      </c>
      <c r="B5" s="365"/>
      <c r="C5" s="365"/>
      <c r="D5" s="365"/>
      <c r="E5" s="365"/>
      <c r="F5" s="365"/>
      <c r="G5" s="365"/>
      <c r="H5" s="365"/>
      <c r="I5" s="365"/>
      <c r="J5" s="365"/>
    </row>
    <row r="6" spans="1:10" ht="18.75" thickTop="1">
      <c r="A6" s="782"/>
      <c r="B6" s="726"/>
      <c r="C6" s="726"/>
      <c r="D6" s="728"/>
      <c r="E6" s="729"/>
      <c r="F6" s="783"/>
      <c r="G6" s="731"/>
      <c r="H6" s="732"/>
      <c r="I6" s="733"/>
      <c r="J6" s="734"/>
    </row>
    <row r="7" spans="1:10" ht="18">
      <c r="A7" s="784"/>
      <c r="B7" s="736" t="s">
        <v>120</v>
      </c>
      <c r="C7" s="736"/>
      <c r="D7" s="738"/>
      <c r="E7" s="739"/>
      <c r="F7" s="785"/>
      <c r="G7" s="741"/>
      <c r="H7" s="1052" t="s">
        <v>7</v>
      </c>
      <c r="I7" s="1053"/>
      <c r="J7" s="1054"/>
    </row>
    <row r="8" spans="1:10" ht="18.75" thickBot="1">
      <c r="A8" s="784" t="s">
        <v>94</v>
      </c>
      <c r="B8" s="736" t="s">
        <v>121</v>
      </c>
      <c r="C8" s="736" t="s">
        <v>104</v>
      </c>
      <c r="D8" s="738" t="s">
        <v>105</v>
      </c>
      <c r="E8" s="739" t="s">
        <v>0</v>
      </c>
      <c r="F8" s="785" t="s">
        <v>1</v>
      </c>
      <c r="G8" s="741" t="s">
        <v>2</v>
      </c>
      <c r="H8" s="1049"/>
      <c r="I8" s="1050"/>
      <c r="J8" s="1051"/>
    </row>
    <row r="9" spans="1:10" ht="18">
      <c r="A9" s="784"/>
      <c r="B9" s="736" t="s">
        <v>122</v>
      </c>
      <c r="C9" s="736"/>
      <c r="D9" s="738"/>
      <c r="E9" s="739"/>
      <c r="F9" s="785"/>
      <c r="G9" s="741"/>
      <c r="H9" s="738"/>
      <c r="I9" s="739"/>
      <c r="J9" s="743"/>
    </row>
    <row r="10" spans="1:10" ht="18">
      <c r="A10" s="784"/>
      <c r="B10" s="736"/>
      <c r="C10" s="736"/>
      <c r="D10" s="738"/>
      <c r="E10" s="739"/>
      <c r="F10" s="785"/>
      <c r="G10" s="741"/>
      <c r="H10" s="738" t="s">
        <v>3</v>
      </c>
      <c r="I10" s="739" t="s">
        <v>15</v>
      </c>
      <c r="J10" s="743" t="s">
        <v>71</v>
      </c>
    </row>
    <row r="11" spans="1:10" ht="18">
      <c r="A11" s="784"/>
      <c r="B11" s="736"/>
      <c r="C11" s="736"/>
      <c r="D11" s="738"/>
      <c r="E11" s="739"/>
      <c r="F11" s="785"/>
      <c r="G11" s="741"/>
      <c r="H11" s="738"/>
      <c r="I11" s="739"/>
      <c r="J11" s="743"/>
    </row>
    <row r="12" spans="1:10" ht="18.75" thickBot="1">
      <c r="A12" s="786">
        <v>-1</v>
      </c>
      <c r="B12" s="745">
        <f aca="true" t="shared" si="0" ref="B12:J12">+A12-1</f>
        <v>-2</v>
      </c>
      <c r="C12" s="745">
        <f t="shared" si="0"/>
        <v>-3</v>
      </c>
      <c r="D12" s="747">
        <f t="shared" si="0"/>
        <v>-4</v>
      </c>
      <c r="E12" s="748">
        <f t="shared" si="0"/>
        <v>-5</v>
      </c>
      <c r="F12" s="787">
        <f t="shared" si="0"/>
        <v>-6</v>
      </c>
      <c r="G12" s="750">
        <f t="shared" si="0"/>
        <v>-7</v>
      </c>
      <c r="H12" s="747">
        <f t="shared" si="0"/>
        <v>-8</v>
      </c>
      <c r="I12" s="748">
        <f t="shared" si="0"/>
        <v>-9</v>
      </c>
      <c r="J12" s="752">
        <f t="shared" si="0"/>
        <v>-10</v>
      </c>
    </row>
    <row r="13" spans="1:10" ht="18">
      <c r="A13" s="371"/>
      <c r="B13" s="753"/>
      <c r="C13" s="753"/>
      <c r="D13" s="755" t="s">
        <v>6</v>
      </c>
      <c r="E13" s="756" t="s">
        <v>6</v>
      </c>
      <c r="F13" s="788" t="s">
        <v>6</v>
      </c>
      <c r="G13" s="369" t="s">
        <v>6</v>
      </c>
      <c r="H13" s="755" t="s">
        <v>6</v>
      </c>
      <c r="I13" s="756" t="s">
        <v>6</v>
      </c>
      <c r="J13" s="759" t="s">
        <v>6</v>
      </c>
    </row>
    <row r="14" spans="1:10" ht="18">
      <c r="A14" s="611" t="s">
        <v>205</v>
      </c>
      <c r="B14" s="587"/>
      <c r="C14" s="587"/>
      <c r="D14" s="589"/>
      <c r="E14" s="590"/>
      <c r="F14" s="612"/>
      <c r="G14" s="592"/>
      <c r="H14" s="589"/>
      <c r="I14" s="590"/>
      <c r="J14" s="594"/>
    </row>
    <row r="15" spans="1:10" ht="18">
      <c r="A15" s="611" t="s">
        <v>206</v>
      </c>
      <c r="B15" s="587"/>
      <c r="C15" s="587"/>
      <c r="D15" s="589"/>
      <c r="E15" s="590"/>
      <c r="F15" s="612"/>
      <c r="G15" s="592"/>
      <c r="H15" s="589"/>
      <c r="I15" s="590"/>
      <c r="J15" s="594"/>
    </row>
    <row r="16" spans="1:10" ht="18">
      <c r="A16" s="611" t="s">
        <v>207</v>
      </c>
      <c r="B16" s="587" t="s">
        <v>124</v>
      </c>
      <c r="C16" s="587" t="s">
        <v>208</v>
      </c>
      <c r="D16" s="595"/>
      <c r="E16" s="596">
        <v>3456</v>
      </c>
      <c r="F16" s="613">
        <v>3568</v>
      </c>
      <c r="G16" s="587"/>
      <c r="H16" s="595"/>
      <c r="I16" s="596"/>
      <c r="J16" s="599"/>
    </row>
    <row r="17" spans="1:10" ht="18">
      <c r="A17" s="611"/>
      <c r="B17" s="587" t="s">
        <v>126</v>
      </c>
      <c r="C17" s="587" t="s">
        <v>209</v>
      </c>
      <c r="D17" s="595"/>
      <c r="E17" s="596"/>
      <c r="F17" s="613">
        <v>68</v>
      </c>
      <c r="G17" s="587">
        <v>60000</v>
      </c>
      <c r="H17" s="595"/>
      <c r="I17" s="596"/>
      <c r="J17" s="599"/>
    </row>
    <row r="18" spans="1:10" ht="18">
      <c r="A18" s="611" t="s">
        <v>210</v>
      </c>
      <c r="B18" s="587" t="s">
        <v>126</v>
      </c>
      <c r="C18" s="587" t="s">
        <v>211</v>
      </c>
      <c r="D18" s="595"/>
      <c r="E18" s="596"/>
      <c r="F18" s="613"/>
      <c r="G18" s="587"/>
      <c r="H18" s="595"/>
      <c r="I18" s="596"/>
      <c r="J18" s="599"/>
    </row>
    <row r="19" spans="1:10" ht="18">
      <c r="A19" s="611" t="s">
        <v>212</v>
      </c>
      <c r="B19" s="587" t="s">
        <v>126</v>
      </c>
      <c r="C19" s="587" t="s">
        <v>213</v>
      </c>
      <c r="D19" s="595"/>
      <c r="E19" s="596"/>
      <c r="F19" s="613">
        <v>900</v>
      </c>
      <c r="G19" s="587">
        <v>50000</v>
      </c>
      <c r="H19" s="595"/>
      <c r="I19" s="596"/>
      <c r="J19" s="599"/>
    </row>
    <row r="20" spans="1:10" ht="18">
      <c r="A20" s="611" t="s">
        <v>214</v>
      </c>
      <c r="B20" s="587" t="s">
        <v>126</v>
      </c>
      <c r="C20" s="587" t="s">
        <v>215</v>
      </c>
      <c r="D20" s="595"/>
      <c r="E20" s="596"/>
      <c r="F20" s="613">
        <v>56</v>
      </c>
      <c r="G20" s="587"/>
      <c r="H20" s="595"/>
      <c r="I20" s="596"/>
      <c r="J20" s="599"/>
    </row>
    <row r="21" spans="1:10" ht="18">
      <c r="A21" s="611"/>
      <c r="B21" s="587" t="s">
        <v>124</v>
      </c>
      <c r="C21" s="587" t="s">
        <v>216</v>
      </c>
      <c r="D21" s="595"/>
      <c r="E21" s="596"/>
      <c r="F21" s="613"/>
      <c r="G21" s="587">
        <v>6162</v>
      </c>
      <c r="H21" s="595">
        <v>9243</v>
      </c>
      <c r="I21" s="596">
        <v>10783</v>
      </c>
      <c r="J21" s="599">
        <v>4622</v>
      </c>
    </row>
    <row r="22" spans="1:10" ht="18">
      <c r="A22" s="611" t="s">
        <v>217</v>
      </c>
      <c r="B22" s="587" t="s">
        <v>124</v>
      </c>
      <c r="C22" s="587" t="s">
        <v>218</v>
      </c>
      <c r="D22" s="595">
        <v>6713</v>
      </c>
      <c r="E22" s="596"/>
      <c r="F22" s="613"/>
      <c r="G22" s="587"/>
      <c r="H22" s="595"/>
      <c r="I22" s="596"/>
      <c r="J22" s="599"/>
    </row>
    <row r="23" spans="1:10" ht="18.75" thickBot="1">
      <c r="A23" s="614"/>
      <c r="B23" s="601"/>
      <c r="C23" s="601"/>
      <c r="D23" s="603"/>
      <c r="E23" s="604"/>
      <c r="F23" s="615"/>
      <c r="G23" s="601"/>
      <c r="H23" s="603"/>
      <c r="I23" s="604"/>
      <c r="J23" s="607"/>
    </row>
    <row r="24" spans="1:10" ht="18.75" thickBot="1">
      <c r="A24" s="789" t="s">
        <v>123</v>
      </c>
      <c r="B24" s="790" t="s">
        <v>124</v>
      </c>
      <c r="C24" s="791"/>
      <c r="D24" s="616">
        <f>+D22</f>
        <v>6713</v>
      </c>
      <c r="E24" s="617">
        <f>+E16</f>
        <v>3456</v>
      </c>
      <c r="F24" s="618">
        <f>+F16</f>
        <v>3568</v>
      </c>
      <c r="G24" s="619">
        <f>+G21</f>
        <v>6162</v>
      </c>
      <c r="H24" s="616">
        <f>+H21</f>
        <v>9243</v>
      </c>
      <c r="I24" s="617">
        <f>+I21</f>
        <v>10783</v>
      </c>
      <c r="J24" s="620">
        <f>+J21</f>
        <v>4622</v>
      </c>
    </row>
    <row r="25" spans="1:10" ht="18.75" thickBot="1">
      <c r="A25" s="789" t="s">
        <v>125</v>
      </c>
      <c r="B25" s="790" t="s">
        <v>126</v>
      </c>
      <c r="C25" s="792"/>
      <c r="D25" s="621">
        <v>0</v>
      </c>
      <c r="E25" s="617">
        <v>0</v>
      </c>
      <c r="F25" s="622">
        <f>+F17+F19+F20</f>
        <v>1024</v>
      </c>
      <c r="G25" s="619">
        <f>+G17+G19</f>
        <v>110000</v>
      </c>
      <c r="H25" s="623">
        <v>0</v>
      </c>
      <c r="I25" s="624">
        <v>0</v>
      </c>
      <c r="J25" s="625">
        <v>0</v>
      </c>
    </row>
    <row r="26" spans="1:10" s="584" customFormat="1" ht="18.75" thickBot="1">
      <c r="A26" s="793" t="s">
        <v>107</v>
      </c>
      <c r="B26" s="761"/>
      <c r="C26" s="761"/>
      <c r="D26" s="794">
        <f aca="true" t="shared" si="1" ref="D26:J26">SUM(D24:D25)</f>
        <v>6713</v>
      </c>
      <c r="E26" s="795">
        <f t="shared" si="1"/>
        <v>3456</v>
      </c>
      <c r="F26" s="796">
        <f t="shared" si="1"/>
        <v>4592</v>
      </c>
      <c r="G26" s="797">
        <f t="shared" si="1"/>
        <v>116162</v>
      </c>
      <c r="H26" s="794">
        <f t="shared" si="1"/>
        <v>9243</v>
      </c>
      <c r="I26" s="795">
        <f t="shared" si="1"/>
        <v>10783</v>
      </c>
      <c r="J26" s="798">
        <f t="shared" si="1"/>
        <v>4622</v>
      </c>
    </row>
    <row r="27" ht="18.75" thickTop="1"/>
    <row r="29" spans="1:10" ht="18.75" thickBot="1">
      <c r="A29" s="364" t="s">
        <v>127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8.75" thickTop="1">
      <c r="A30" s="782"/>
      <c r="B30" s="726"/>
      <c r="C30" s="726"/>
      <c r="D30" s="733"/>
      <c r="E30" s="733"/>
      <c r="F30" s="733"/>
      <c r="G30" s="731"/>
      <c r="H30" s="732"/>
      <c r="I30" s="733"/>
      <c r="J30" s="734"/>
    </row>
    <row r="31" spans="1:10" ht="18">
      <c r="A31" s="784"/>
      <c r="B31" s="736" t="s">
        <v>120</v>
      </c>
      <c r="C31" s="736"/>
      <c r="D31" s="799"/>
      <c r="E31" s="799"/>
      <c r="F31" s="799"/>
      <c r="G31" s="741"/>
      <c r="H31" s="1052" t="s">
        <v>7</v>
      </c>
      <c r="I31" s="1053"/>
      <c r="J31" s="1054"/>
    </row>
    <row r="32" spans="1:10" ht="18.75" thickBot="1">
      <c r="A32" s="784" t="s">
        <v>94</v>
      </c>
      <c r="B32" s="736" t="s">
        <v>121</v>
      </c>
      <c r="C32" s="736" t="s">
        <v>104</v>
      </c>
      <c r="D32" s="1053" t="s">
        <v>111</v>
      </c>
      <c r="E32" s="1053"/>
      <c r="F32" s="1053"/>
      <c r="G32" s="741"/>
      <c r="H32" s="1049"/>
      <c r="I32" s="1050"/>
      <c r="J32" s="1051"/>
    </row>
    <row r="33" spans="1:10" ht="18">
      <c r="A33" s="784"/>
      <c r="B33" s="736" t="s">
        <v>122</v>
      </c>
      <c r="C33" s="736"/>
      <c r="D33" s="1053" t="s">
        <v>128</v>
      </c>
      <c r="E33" s="1053"/>
      <c r="F33" s="1053"/>
      <c r="G33" s="741" t="s">
        <v>2</v>
      </c>
      <c r="H33" s="738"/>
      <c r="I33" s="739"/>
      <c r="J33" s="743"/>
    </row>
    <row r="34" spans="1:10" ht="18">
      <c r="A34" s="784"/>
      <c r="B34" s="736"/>
      <c r="C34" s="736"/>
      <c r="D34" s="799"/>
      <c r="E34" s="799"/>
      <c r="F34" s="799"/>
      <c r="G34" s="741"/>
      <c r="H34" s="738" t="s">
        <v>3</v>
      </c>
      <c r="I34" s="739" t="s">
        <v>15</v>
      </c>
      <c r="J34" s="743" t="s">
        <v>71</v>
      </c>
    </row>
    <row r="35" spans="1:10" ht="18">
      <c r="A35" s="784"/>
      <c r="B35" s="736"/>
      <c r="C35" s="736"/>
      <c r="D35" s="799"/>
      <c r="E35" s="799"/>
      <c r="F35" s="799"/>
      <c r="G35" s="741"/>
      <c r="H35" s="738"/>
      <c r="I35" s="739"/>
      <c r="J35" s="743"/>
    </row>
    <row r="36" spans="1:10" ht="18.75" thickBot="1">
      <c r="A36" s="786">
        <v>-1</v>
      </c>
      <c r="B36" s="745">
        <f>+A36-1</f>
        <v>-2</v>
      </c>
      <c r="C36" s="745">
        <f>+B36-1</f>
        <v>-3</v>
      </c>
      <c r="D36" s="1058">
        <f>+C36-1</f>
        <v>-4</v>
      </c>
      <c r="E36" s="1058"/>
      <c r="F36" s="1058"/>
      <c r="G36" s="750">
        <f>+D36-1</f>
        <v>-5</v>
      </c>
      <c r="H36" s="747">
        <f>+G36-1</f>
        <v>-6</v>
      </c>
      <c r="I36" s="748">
        <f>+H36-1</f>
        <v>-7</v>
      </c>
      <c r="J36" s="752">
        <f>+I36-1</f>
        <v>-8</v>
      </c>
    </row>
    <row r="37" spans="1:10" ht="18">
      <c r="A37" s="800"/>
      <c r="B37" s="801"/>
      <c r="C37" s="801"/>
      <c r="D37" s="802"/>
      <c r="E37" s="802"/>
      <c r="F37" s="802"/>
      <c r="G37" s="369" t="s">
        <v>6</v>
      </c>
      <c r="H37" s="755" t="s">
        <v>6</v>
      </c>
      <c r="I37" s="756" t="s">
        <v>6</v>
      </c>
      <c r="J37" s="759" t="s">
        <v>6</v>
      </c>
    </row>
    <row r="38" spans="1:10" ht="18">
      <c r="A38" s="611" t="s">
        <v>205</v>
      </c>
      <c r="B38" s="1003"/>
      <c r="C38" s="587"/>
      <c r="D38" s="626"/>
      <c r="E38" s="626"/>
      <c r="F38" s="626"/>
      <c r="G38" s="587"/>
      <c r="H38" s="595"/>
      <c r="I38" s="596"/>
      <c r="J38" s="599"/>
    </row>
    <row r="39" spans="1:10" ht="18">
      <c r="A39" s="611" t="s">
        <v>206</v>
      </c>
      <c r="B39" s="587"/>
      <c r="C39" s="587"/>
      <c r="D39" s="626"/>
      <c r="E39" s="626"/>
      <c r="F39" s="626"/>
      <c r="G39" s="587"/>
      <c r="H39" s="595">
        <v>0</v>
      </c>
      <c r="I39" s="596">
        <v>0</v>
      </c>
      <c r="J39" s="599">
        <v>0</v>
      </c>
    </row>
    <row r="40" spans="1:10" ht="18">
      <c r="A40" s="1004" t="s">
        <v>207</v>
      </c>
      <c r="B40" s="1003" t="s">
        <v>126</v>
      </c>
      <c r="C40" s="1003" t="s">
        <v>215</v>
      </c>
      <c r="D40" s="1056" t="s">
        <v>219</v>
      </c>
      <c r="E40" s="1057"/>
      <c r="F40" s="1057"/>
      <c r="G40" s="1005">
        <v>60000</v>
      </c>
      <c r="H40" s="595">
        <v>0</v>
      </c>
      <c r="I40" s="596">
        <v>0</v>
      </c>
      <c r="J40" s="599">
        <v>0</v>
      </c>
    </row>
    <row r="41" spans="1:10" ht="18">
      <c r="A41" s="611" t="s">
        <v>210</v>
      </c>
      <c r="B41" s="587"/>
      <c r="C41" s="587"/>
      <c r="D41" s="626"/>
      <c r="E41" s="626"/>
      <c r="F41" s="626"/>
      <c r="G41" s="587"/>
      <c r="H41" s="595">
        <v>0</v>
      </c>
      <c r="I41" s="596">
        <v>0</v>
      </c>
      <c r="J41" s="599">
        <v>0</v>
      </c>
    </row>
    <row r="42" spans="1:10" ht="18">
      <c r="A42" s="1003" t="s">
        <v>212</v>
      </c>
      <c r="B42" s="1003" t="s">
        <v>126</v>
      </c>
      <c r="C42" s="1003" t="s">
        <v>215</v>
      </c>
      <c r="D42" s="1056" t="s">
        <v>220</v>
      </c>
      <c r="E42" s="1057"/>
      <c r="F42" s="1057"/>
      <c r="G42" s="1006">
        <v>50000</v>
      </c>
      <c r="H42" s="595">
        <v>0</v>
      </c>
      <c r="I42" s="596">
        <v>0</v>
      </c>
      <c r="J42" s="599">
        <v>0</v>
      </c>
    </row>
    <row r="43" spans="1:10" ht="18">
      <c r="A43" s="611" t="s">
        <v>224</v>
      </c>
      <c r="B43" s="587"/>
      <c r="C43" s="587"/>
      <c r="D43" s="626"/>
      <c r="E43" s="626"/>
      <c r="F43" s="626"/>
      <c r="G43" s="587"/>
      <c r="H43" s="595">
        <v>0</v>
      </c>
      <c r="I43" s="596">
        <v>0</v>
      </c>
      <c r="J43" s="599">
        <v>0</v>
      </c>
    </row>
    <row r="44" spans="1:10" ht="18">
      <c r="A44" s="611" t="s">
        <v>214</v>
      </c>
      <c r="B44" s="587"/>
      <c r="C44" s="587"/>
      <c r="D44" s="626"/>
      <c r="E44" s="626"/>
      <c r="F44" s="626"/>
      <c r="G44" s="587"/>
      <c r="H44" s="595">
        <v>0</v>
      </c>
      <c r="I44" s="596">
        <v>0</v>
      </c>
      <c r="J44" s="599">
        <v>0</v>
      </c>
    </row>
    <row r="45" spans="1:10" ht="18">
      <c r="A45" s="611" t="s">
        <v>217</v>
      </c>
      <c r="B45" s="587"/>
      <c r="C45" s="587"/>
      <c r="D45" s="626"/>
      <c r="E45" s="626"/>
      <c r="F45" s="626"/>
      <c r="G45" s="587"/>
      <c r="H45" s="595">
        <v>0</v>
      </c>
      <c r="I45" s="596">
        <v>0</v>
      </c>
      <c r="J45" s="599">
        <v>0</v>
      </c>
    </row>
    <row r="46" spans="1:10" ht="18">
      <c r="A46" s="611" t="s">
        <v>225</v>
      </c>
      <c r="B46" s="587"/>
      <c r="C46" s="587"/>
      <c r="D46" s="626"/>
      <c r="E46" s="626"/>
      <c r="F46" s="626"/>
      <c r="G46" s="587"/>
      <c r="H46" s="595">
        <v>0</v>
      </c>
      <c r="I46" s="596">
        <v>0</v>
      </c>
      <c r="J46" s="599">
        <v>0</v>
      </c>
    </row>
    <row r="47" spans="1:10" ht="18.75" thickBot="1">
      <c r="A47" s="614"/>
      <c r="B47" s="601"/>
      <c r="C47" s="601"/>
      <c r="D47" s="627"/>
      <c r="E47" s="627"/>
      <c r="F47" s="627"/>
      <c r="G47" s="601"/>
      <c r="H47" s="603"/>
      <c r="I47" s="604"/>
      <c r="J47" s="607"/>
    </row>
    <row r="48" spans="1:10" ht="18.75" thickBot="1">
      <c r="A48" s="789" t="s">
        <v>123</v>
      </c>
      <c r="B48" s="790" t="s">
        <v>124</v>
      </c>
      <c r="C48" s="803"/>
      <c r="D48" s="803"/>
      <c r="E48" s="803"/>
      <c r="F48" s="803"/>
      <c r="G48" s="619">
        <v>0</v>
      </c>
      <c r="H48" s="616">
        <v>0</v>
      </c>
      <c r="I48" s="617">
        <v>0</v>
      </c>
      <c r="J48" s="620">
        <v>0</v>
      </c>
    </row>
    <row r="49" spans="1:10" ht="18.75" thickBot="1">
      <c r="A49" s="789" t="s">
        <v>125</v>
      </c>
      <c r="B49" s="790" t="s">
        <v>126</v>
      </c>
      <c r="C49" s="803"/>
      <c r="D49" s="803"/>
      <c r="E49" s="803"/>
      <c r="F49" s="803"/>
      <c r="G49" s="628">
        <f>+G42+G40</f>
        <v>110000</v>
      </c>
      <c r="H49" s="623">
        <v>0</v>
      </c>
      <c r="I49" s="624">
        <v>0</v>
      </c>
      <c r="J49" s="625">
        <v>0</v>
      </c>
    </row>
    <row r="50" spans="1:10" ht="18.75" thickBot="1">
      <c r="A50" s="793" t="s">
        <v>107</v>
      </c>
      <c r="B50" s="761"/>
      <c r="C50" s="780"/>
      <c r="D50" s="780"/>
      <c r="E50" s="780"/>
      <c r="F50" s="780"/>
      <c r="G50" s="797">
        <f>SUM(G48:G49)</f>
        <v>110000</v>
      </c>
      <c r="H50" s="794">
        <f>SUM(H48:H49)</f>
        <v>0</v>
      </c>
      <c r="I50" s="795">
        <f>SUM(I48:I49)</f>
        <v>0</v>
      </c>
      <c r="J50" s="798">
        <f>SUM(J48:J49)</f>
        <v>0</v>
      </c>
    </row>
    <row r="51" spans="1:6" ht="18.75" thickTop="1">
      <c r="A51" s="365"/>
      <c r="B51" s="365"/>
      <c r="C51" s="365"/>
      <c r="D51" s="365"/>
      <c r="E51" s="365"/>
      <c r="F51" s="365"/>
    </row>
    <row r="52" spans="1:6" ht="18">
      <c r="A52" s="781" t="s">
        <v>129</v>
      </c>
      <c r="B52" s="365"/>
      <c r="C52" s="365"/>
      <c r="D52" s="365"/>
      <c r="E52" s="365"/>
      <c r="F52" s="365"/>
    </row>
    <row r="53" spans="1:6" ht="18">
      <c r="A53" s="781" t="s">
        <v>130</v>
      </c>
      <c r="B53" s="365"/>
      <c r="C53" s="365"/>
      <c r="D53" s="365"/>
      <c r="E53" s="365"/>
      <c r="F53" s="365"/>
    </row>
  </sheetData>
  <mergeCells count="9">
    <mergeCell ref="D40:F40"/>
    <mergeCell ref="D42:F42"/>
    <mergeCell ref="D36:F36"/>
    <mergeCell ref="D32:F32"/>
    <mergeCell ref="D33:F33"/>
    <mergeCell ref="H7:J7"/>
    <mergeCell ref="H8:J8"/>
    <mergeCell ref="H31:J31"/>
    <mergeCell ref="H32:J32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="60" zoomScaleNormal="60" workbookViewId="0" topLeftCell="A28">
      <selection activeCell="A28" sqref="A28"/>
    </sheetView>
  </sheetViews>
  <sheetFormatPr defaultColWidth="9.140625" defaultRowHeight="12.75"/>
  <cols>
    <col min="1" max="1" width="59.28125" style="365" customWidth="1"/>
    <col min="2" max="2" width="1.7109375" style="365" customWidth="1"/>
    <col min="3" max="3" width="18.7109375" style="365" customWidth="1"/>
    <col min="4" max="5" width="17.7109375" style="365" customWidth="1"/>
    <col min="6" max="6" width="18.7109375" style="365" customWidth="1"/>
    <col min="7" max="8" width="17.7109375" style="365" customWidth="1"/>
    <col min="9" max="9" width="18.7109375" style="365" customWidth="1"/>
    <col min="10" max="11" width="17.7109375" style="365" customWidth="1"/>
    <col min="12" max="12" width="18.7109375" style="365" customWidth="1"/>
    <col min="13" max="14" width="17.7109375" style="365" customWidth="1"/>
    <col min="15" max="15" width="18.7109375" style="365" customWidth="1"/>
    <col min="16" max="17" width="17.7109375" style="365" customWidth="1"/>
    <col min="18" max="16384" width="9.140625" style="365" customWidth="1"/>
  </cols>
  <sheetData>
    <row r="1" spans="1:32" s="990" customFormat="1" ht="24.75">
      <c r="A1" s="1044" t="str">
        <f>'Schedule 1 '!A1</f>
        <v>VOTE:  21  DEFENCE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988"/>
      <c r="S1" s="988"/>
      <c r="T1" s="988"/>
      <c r="U1" s="988"/>
      <c r="V1" s="988"/>
      <c r="W1" s="988"/>
      <c r="X1" s="988"/>
      <c r="Y1" s="988"/>
      <c r="Z1" s="989"/>
      <c r="AA1" s="989"/>
      <c r="AB1" s="989"/>
      <c r="AC1" s="988"/>
      <c r="AF1" s="991"/>
    </row>
    <row r="2" spans="1:17" s="993" customFormat="1" ht="18">
      <c r="A2" s="992"/>
      <c r="B2" s="992"/>
      <c r="C2" s="992"/>
      <c r="D2" s="992"/>
      <c r="E2" s="992"/>
      <c r="F2" s="992"/>
      <c r="G2" s="992"/>
      <c r="I2" s="992"/>
      <c r="J2" s="992"/>
      <c r="K2" s="992"/>
      <c r="Q2" s="363" t="s">
        <v>69</v>
      </c>
    </row>
    <row r="3" spans="1:17" s="993" customFormat="1" ht="22.5">
      <c r="A3" s="1059" t="s">
        <v>95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</row>
    <row r="4" spans="1:7" s="993" customFormat="1" ht="18.75" thickBot="1">
      <c r="A4" s="994"/>
      <c r="B4" s="994"/>
      <c r="C4" s="994"/>
      <c r="D4" s="994"/>
      <c r="E4" s="994"/>
      <c r="F4" s="994"/>
      <c r="G4" s="994"/>
    </row>
    <row r="5" spans="1:17" ht="19.5" thickTop="1">
      <c r="A5" s="373"/>
      <c r="B5" s="374"/>
      <c r="C5" s="306"/>
      <c r="D5" s="306"/>
      <c r="E5" s="310"/>
      <c r="F5" s="306"/>
      <c r="G5" s="306"/>
      <c r="H5" s="310"/>
      <c r="I5" s="306"/>
      <c r="J5" s="306"/>
      <c r="K5" s="306"/>
      <c r="L5" s="306"/>
      <c r="M5" s="306"/>
      <c r="N5" s="306"/>
      <c r="O5" s="306"/>
      <c r="P5" s="306"/>
      <c r="Q5" s="310"/>
    </row>
    <row r="6" spans="1:17" ht="18.75">
      <c r="A6" s="375" t="s">
        <v>14</v>
      </c>
      <c r="B6" s="366"/>
      <c r="C6" s="1028" t="s">
        <v>160</v>
      </c>
      <c r="D6" s="1028"/>
      <c r="E6" s="1029"/>
      <c r="F6" s="1027" t="s">
        <v>139</v>
      </c>
      <c r="G6" s="1028"/>
      <c r="H6" s="1029"/>
      <c r="I6" s="317" t="s">
        <v>7</v>
      </c>
      <c r="J6" s="317"/>
      <c r="K6" s="317"/>
      <c r="L6" s="317"/>
      <c r="M6" s="317"/>
      <c r="N6" s="317"/>
      <c r="O6" s="317"/>
      <c r="P6" s="317"/>
      <c r="Q6" s="329"/>
    </row>
    <row r="7" spans="1:17" ht="19.5" thickBot="1">
      <c r="A7" s="376"/>
      <c r="B7" s="366"/>
      <c r="C7" s="319"/>
      <c r="D7" s="319"/>
      <c r="E7" s="318"/>
      <c r="F7" s="319"/>
      <c r="G7" s="319"/>
      <c r="H7" s="318"/>
      <c r="I7" s="319"/>
      <c r="J7" s="319"/>
      <c r="K7" s="319"/>
      <c r="L7" s="319"/>
      <c r="M7" s="319"/>
      <c r="N7" s="319"/>
      <c r="O7" s="319"/>
      <c r="P7" s="319"/>
      <c r="Q7" s="318"/>
    </row>
    <row r="8" spans="1:17" ht="18.75">
      <c r="A8" s="375"/>
      <c r="B8" s="377"/>
      <c r="C8" s="378"/>
      <c r="D8" s="378"/>
      <c r="E8" s="379"/>
      <c r="F8" s="380"/>
      <c r="G8" s="380"/>
      <c r="H8" s="381"/>
      <c r="I8" s="324"/>
      <c r="J8" s="324"/>
      <c r="K8" s="325"/>
      <c r="L8" s="326"/>
      <c r="M8" s="324"/>
      <c r="N8" s="325"/>
      <c r="O8" s="326"/>
      <c r="P8" s="324"/>
      <c r="Q8" s="325"/>
    </row>
    <row r="9" spans="1:17" ht="18.75">
      <c r="A9" s="375"/>
      <c r="B9" s="366"/>
      <c r="C9" s="1024" t="s">
        <v>1</v>
      </c>
      <c r="D9" s="1025"/>
      <c r="E9" s="1026"/>
      <c r="F9" s="1024" t="s">
        <v>2</v>
      </c>
      <c r="G9" s="1025"/>
      <c r="H9" s="1026"/>
      <c r="I9" s="328" t="s">
        <v>3</v>
      </c>
      <c r="J9" s="328"/>
      <c r="K9" s="329"/>
      <c r="L9" s="330" t="s">
        <v>15</v>
      </c>
      <c r="M9" s="328"/>
      <c r="N9" s="329"/>
      <c r="O9" s="330" t="s">
        <v>71</v>
      </c>
      <c r="P9" s="328"/>
      <c r="Q9" s="329"/>
    </row>
    <row r="10" spans="1:17" ht="19.5" thickBot="1">
      <c r="A10" s="375"/>
      <c r="B10" s="367"/>
      <c r="C10" s="382"/>
      <c r="D10" s="382"/>
      <c r="E10" s="383"/>
      <c r="F10" s="384"/>
      <c r="G10" s="384"/>
      <c r="H10" s="385"/>
      <c r="I10" s="333"/>
      <c r="J10" s="333"/>
      <c r="K10" s="334"/>
      <c r="L10" s="335"/>
      <c r="M10" s="333"/>
      <c r="N10" s="334"/>
      <c r="O10" s="335"/>
      <c r="P10" s="333"/>
      <c r="Q10" s="334"/>
    </row>
    <row r="11" spans="1:17" ht="18.75">
      <c r="A11" s="375"/>
      <c r="B11" s="366"/>
      <c r="C11" s="386"/>
      <c r="D11" s="387"/>
      <c r="E11" s="388"/>
      <c r="F11" s="389"/>
      <c r="G11" s="390"/>
      <c r="H11" s="391"/>
      <c r="I11" s="336"/>
      <c r="J11" s="337"/>
      <c r="K11" s="338"/>
      <c r="L11" s="339"/>
      <c r="M11" s="337"/>
      <c r="N11" s="338"/>
      <c r="O11" s="339"/>
      <c r="P11" s="337"/>
      <c r="Q11" s="392"/>
    </row>
    <row r="12" spans="1:17" ht="18.75">
      <c r="A12" s="375"/>
      <c r="B12" s="366"/>
      <c r="C12" s="393" t="s">
        <v>96</v>
      </c>
      <c r="D12" s="394" t="s">
        <v>97</v>
      </c>
      <c r="E12" s="395" t="s">
        <v>4</v>
      </c>
      <c r="F12" s="37" t="s">
        <v>96</v>
      </c>
      <c r="G12" s="38" t="s">
        <v>97</v>
      </c>
      <c r="H12" s="39" t="s">
        <v>4</v>
      </c>
      <c r="I12" s="37" t="s">
        <v>96</v>
      </c>
      <c r="J12" s="38" t="s">
        <v>97</v>
      </c>
      <c r="K12" s="39" t="s">
        <v>4</v>
      </c>
      <c r="L12" s="37" t="s">
        <v>96</v>
      </c>
      <c r="M12" s="38" t="s">
        <v>97</v>
      </c>
      <c r="N12" s="39" t="s">
        <v>4</v>
      </c>
      <c r="O12" s="37" t="s">
        <v>96</v>
      </c>
      <c r="P12" s="38" t="s">
        <v>97</v>
      </c>
      <c r="Q12" s="39" t="s">
        <v>4</v>
      </c>
    </row>
    <row r="13" spans="1:17" ht="18.75">
      <c r="A13" s="375"/>
      <c r="B13" s="366"/>
      <c r="C13" s="396"/>
      <c r="D13" s="397"/>
      <c r="E13" s="398"/>
      <c r="F13" s="311"/>
      <c r="G13" s="350"/>
      <c r="H13" s="351"/>
      <c r="I13" s="37"/>
      <c r="J13" s="38"/>
      <c r="K13" s="38"/>
      <c r="L13" s="37"/>
      <c r="M13" s="38"/>
      <c r="N13" s="39"/>
      <c r="O13" s="37"/>
      <c r="P13" s="38"/>
      <c r="Q13" s="39"/>
    </row>
    <row r="14" spans="1:17" ht="18.75">
      <c r="A14" s="375"/>
      <c r="B14" s="366"/>
      <c r="C14" s="399"/>
      <c r="D14" s="400"/>
      <c r="E14" s="401"/>
      <c r="F14" s="402"/>
      <c r="G14" s="403"/>
      <c r="H14" s="404"/>
      <c r="I14" s="49"/>
      <c r="J14" s="38"/>
      <c r="K14" s="38"/>
      <c r="L14" s="49"/>
      <c r="M14" s="38"/>
      <c r="N14" s="39"/>
      <c r="O14" s="37"/>
      <c r="P14" s="38"/>
      <c r="Q14" s="39"/>
    </row>
    <row r="15" spans="1:17" ht="18.75">
      <c r="A15" s="375"/>
      <c r="B15" s="366"/>
      <c r="C15" s="399"/>
      <c r="D15" s="400"/>
      <c r="E15" s="401"/>
      <c r="F15" s="402"/>
      <c r="G15" s="403"/>
      <c r="H15" s="404"/>
      <c r="I15" s="49"/>
      <c r="J15" s="38"/>
      <c r="K15" s="38"/>
      <c r="L15" s="49"/>
      <c r="M15" s="38"/>
      <c r="N15" s="39"/>
      <c r="O15" s="53"/>
      <c r="P15" s="38"/>
      <c r="Q15" s="39"/>
    </row>
    <row r="16" spans="1:17" ht="18.75">
      <c r="A16" s="375"/>
      <c r="B16" s="366"/>
      <c r="C16" s="399"/>
      <c r="D16" s="400"/>
      <c r="E16" s="401"/>
      <c r="F16" s="402"/>
      <c r="G16" s="403"/>
      <c r="H16" s="404"/>
      <c r="I16" s="344"/>
      <c r="J16" s="350"/>
      <c r="K16" s="351"/>
      <c r="L16" s="352"/>
      <c r="M16" s="350"/>
      <c r="N16" s="351"/>
      <c r="O16" s="311"/>
      <c r="P16" s="350"/>
      <c r="Q16" s="351"/>
    </row>
    <row r="17" spans="1:17" ht="19.5" thickBot="1">
      <c r="A17" s="405">
        <v>-1</v>
      </c>
      <c r="B17" s="406"/>
      <c r="C17" s="407">
        <f>+A17-1</f>
        <v>-2</v>
      </c>
      <c r="D17" s="407">
        <f>+C17-1</f>
        <v>-3</v>
      </c>
      <c r="E17" s="408">
        <f>D17-1</f>
        <v>-4</v>
      </c>
      <c r="F17" s="409">
        <f>E17-1</f>
        <v>-5</v>
      </c>
      <c r="G17" s="407">
        <f>F17-1</f>
        <v>-6</v>
      </c>
      <c r="H17" s="66">
        <f>G17-1</f>
        <v>-7</v>
      </c>
      <c r="I17" s="356">
        <f aca="true" t="shared" si="0" ref="I17:Q17">H17-1</f>
        <v>-8</v>
      </c>
      <c r="J17" s="65">
        <f t="shared" si="0"/>
        <v>-9</v>
      </c>
      <c r="K17" s="66">
        <f t="shared" si="0"/>
        <v>-10</v>
      </c>
      <c r="L17" s="64">
        <f>K17-1</f>
        <v>-11</v>
      </c>
      <c r="M17" s="65">
        <f t="shared" si="0"/>
        <v>-12</v>
      </c>
      <c r="N17" s="66">
        <f t="shared" si="0"/>
        <v>-13</v>
      </c>
      <c r="O17" s="64">
        <f>N17-1</f>
        <v>-14</v>
      </c>
      <c r="P17" s="65">
        <f t="shared" si="0"/>
        <v>-15</v>
      </c>
      <c r="Q17" s="66">
        <f t="shared" si="0"/>
        <v>-16</v>
      </c>
    </row>
    <row r="18" spans="1:17" ht="18">
      <c r="A18" s="410"/>
      <c r="B18" s="372"/>
      <c r="C18" s="411" t="s">
        <v>6</v>
      </c>
      <c r="D18" s="412" t="s">
        <v>6</v>
      </c>
      <c r="E18" s="413" t="s">
        <v>6</v>
      </c>
      <c r="F18" s="414" t="s">
        <v>6</v>
      </c>
      <c r="G18" s="415" t="s">
        <v>6</v>
      </c>
      <c r="H18" s="416" t="s">
        <v>6</v>
      </c>
      <c r="I18" s="417" t="s">
        <v>6</v>
      </c>
      <c r="J18" s="369" t="s">
        <v>6</v>
      </c>
      <c r="K18" s="418" t="s">
        <v>6</v>
      </c>
      <c r="L18" s="419" t="s">
        <v>6</v>
      </c>
      <c r="M18" s="412" t="s">
        <v>6</v>
      </c>
      <c r="N18" s="418" t="s">
        <v>6</v>
      </c>
      <c r="O18" s="419" t="s">
        <v>6</v>
      </c>
      <c r="P18" s="412" t="s">
        <v>6</v>
      </c>
      <c r="Q18" s="413" t="s">
        <v>6</v>
      </c>
    </row>
    <row r="19" spans="1:17" ht="18">
      <c r="A19" s="420"/>
      <c r="B19" s="372"/>
      <c r="C19" s="421"/>
      <c r="D19" s="369"/>
      <c r="E19" s="422"/>
      <c r="F19" s="423"/>
      <c r="G19" s="424"/>
      <c r="H19" s="425"/>
      <c r="I19" s="426"/>
      <c r="J19" s="369"/>
      <c r="K19" s="427"/>
      <c r="L19" s="428"/>
      <c r="M19" s="429"/>
      <c r="N19" s="430"/>
      <c r="O19" s="431"/>
      <c r="P19" s="429"/>
      <c r="Q19" s="432"/>
    </row>
    <row r="20" spans="1:17" ht="18">
      <c r="A20" s="846" t="s">
        <v>173</v>
      </c>
      <c r="B20" s="371"/>
      <c r="C20" s="805">
        <f>6839+37</f>
        <v>6876</v>
      </c>
      <c r="D20" s="592">
        <v>1638</v>
      </c>
      <c r="E20" s="433">
        <f>SUM(C20:D20)</f>
        <v>8514</v>
      </c>
      <c r="F20" s="805">
        <f>2888+0</f>
        <v>2888</v>
      </c>
      <c r="G20" s="592">
        <v>9550</v>
      </c>
      <c r="H20" s="434">
        <f>SUM(F20:G20)</f>
        <v>12438</v>
      </c>
      <c r="I20" s="805">
        <f>5938+53750</f>
        <v>59688</v>
      </c>
      <c r="J20" s="592">
        <v>2449</v>
      </c>
      <c r="K20" s="435">
        <f>SUM(I20:J20)</f>
        <v>62137</v>
      </c>
      <c r="L20" s="805">
        <f>5441+47</f>
        <v>5488</v>
      </c>
      <c r="M20" s="592">
        <v>2794</v>
      </c>
      <c r="N20" s="436">
        <f>SUM(L20:M20)</f>
        <v>8282</v>
      </c>
      <c r="O20" s="805">
        <f>6048+47</f>
        <v>6095</v>
      </c>
      <c r="P20" s="592">
        <v>6089</v>
      </c>
      <c r="Q20" s="437">
        <f>SUM(O20:P20)</f>
        <v>12184</v>
      </c>
    </row>
    <row r="21" spans="1:17" ht="18">
      <c r="A21" s="837"/>
      <c r="B21" s="371"/>
      <c r="C21" s="805"/>
      <c r="D21" s="592"/>
      <c r="E21" s="433"/>
      <c r="F21" s="805"/>
      <c r="G21" s="592"/>
      <c r="H21" s="434"/>
      <c r="I21" s="805"/>
      <c r="J21" s="592"/>
      <c r="K21" s="435"/>
      <c r="L21" s="805"/>
      <c r="M21" s="592"/>
      <c r="N21" s="436"/>
      <c r="O21" s="805"/>
      <c r="P21" s="592"/>
      <c r="Q21" s="437"/>
    </row>
    <row r="22" spans="1:17" ht="18">
      <c r="A22" s="846" t="s">
        <v>174</v>
      </c>
      <c r="B22" s="371"/>
      <c r="C22" s="805">
        <f>44022+128</f>
        <v>44150</v>
      </c>
      <c r="D22" s="592">
        <v>24361</v>
      </c>
      <c r="E22" s="433">
        <f>SUM(C22:D22)</f>
        <v>68511</v>
      </c>
      <c r="F22" s="805">
        <v>7325</v>
      </c>
      <c r="G22" s="592">
        <v>29334</v>
      </c>
      <c r="H22" s="434">
        <f>SUM(F22:G22)</f>
        <v>36659</v>
      </c>
      <c r="I22" s="805">
        <f>13659+54</f>
        <v>13713</v>
      </c>
      <c r="J22" s="592">
        <v>31481</v>
      </c>
      <c r="K22" s="435">
        <f>SUM(I22:J22)</f>
        <v>45194</v>
      </c>
      <c r="L22" s="805">
        <f>7980+68</f>
        <v>8048</v>
      </c>
      <c r="M22" s="592">
        <v>35851</v>
      </c>
      <c r="N22" s="436">
        <f>SUM(L22:M22)</f>
        <v>43899</v>
      </c>
      <c r="O22" s="805">
        <f>3180+75</f>
        <v>3255</v>
      </c>
      <c r="P22" s="592">
        <v>33918</v>
      </c>
      <c r="Q22" s="437">
        <f>SUM(O22:P22)</f>
        <v>37173</v>
      </c>
    </row>
    <row r="23" spans="1:17" ht="18">
      <c r="A23" s="837"/>
      <c r="B23" s="371"/>
      <c r="C23" s="805"/>
      <c r="D23" s="592"/>
      <c r="E23" s="433"/>
      <c r="F23" s="805"/>
      <c r="G23" s="592"/>
      <c r="H23" s="434"/>
      <c r="I23" s="805"/>
      <c r="J23" s="592"/>
      <c r="K23" s="435"/>
      <c r="L23" s="805"/>
      <c r="M23" s="592"/>
      <c r="N23" s="436"/>
      <c r="O23" s="805"/>
      <c r="P23" s="592"/>
      <c r="Q23" s="437"/>
    </row>
    <row r="24" spans="1:17" ht="18">
      <c r="A24" s="846" t="s">
        <v>175</v>
      </c>
      <c r="B24" s="371"/>
      <c r="C24" s="805">
        <f>2617+36</f>
        <v>2653</v>
      </c>
      <c r="D24" s="592">
        <v>23377</v>
      </c>
      <c r="E24" s="433">
        <f>SUM(C24:D24)</f>
        <v>26030</v>
      </c>
      <c r="F24" s="805">
        <f>5615+18</f>
        <v>5633</v>
      </c>
      <c r="G24" s="592">
        <v>25870</v>
      </c>
      <c r="H24" s="434">
        <f>SUM(F24:G24)</f>
        <v>31503</v>
      </c>
      <c r="I24" s="805">
        <f>3317+62</f>
        <v>3379</v>
      </c>
      <c r="J24" s="592">
        <v>22029</v>
      </c>
      <c r="K24" s="435">
        <f>SUM(I24:J24)</f>
        <v>25408</v>
      </c>
      <c r="L24" s="805">
        <v>3029</v>
      </c>
      <c r="M24" s="592">
        <v>23134</v>
      </c>
      <c r="N24" s="436">
        <f>SUM(L24:M24)</f>
        <v>26163</v>
      </c>
      <c r="O24" s="805">
        <v>3143</v>
      </c>
      <c r="P24" s="592">
        <v>24765</v>
      </c>
      <c r="Q24" s="437">
        <f>SUM(O24:P24)</f>
        <v>27908</v>
      </c>
    </row>
    <row r="25" spans="1:17" ht="18">
      <c r="A25" s="837"/>
      <c r="B25" s="371"/>
      <c r="C25" s="805"/>
      <c r="D25" s="592"/>
      <c r="E25" s="433"/>
      <c r="F25" s="805"/>
      <c r="G25" s="592"/>
      <c r="H25" s="434"/>
      <c r="I25" s="805"/>
      <c r="J25" s="592"/>
      <c r="K25" s="435"/>
      <c r="L25" s="805"/>
      <c r="M25" s="592"/>
      <c r="N25" s="436"/>
      <c r="O25" s="805"/>
      <c r="P25" s="592"/>
      <c r="Q25" s="437"/>
    </row>
    <row r="26" spans="1:17" ht="18">
      <c r="A26" s="846" t="s">
        <v>176</v>
      </c>
      <c r="B26" s="371"/>
      <c r="C26" s="805">
        <v>3320</v>
      </c>
      <c r="D26" s="592">
        <v>2003</v>
      </c>
      <c r="E26" s="433">
        <f>SUM(C26:D26)</f>
        <v>5323</v>
      </c>
      <c r="F26" s="805">
        <f>6295+3</f>
        <v>6298</v>
      </c>
      <c r="G26" s="592">
        <v>1609</v>
      </c>
      <c r="H26" s="434">
        <f>SUM(F26:G26)</f>
        <v>7907</v>
      </c>
      <c r="I26" s="805">
        <v>7437</v>
      </c>
      <c r="J26" s="592">
        <v>2600</v>
      </c>
      <c r="K26" s="435">
        <f>SUM(I26:J26)</f>
        <v>10037</v>
      </c>
      <c r="L26" s="805">
        <f>4660+3</f>
        <v>4663</v>
      </c>
      <c r="M26" s="592">
        <v>2000</v>
      </c>
      <c r="N26" s="436">
        <f>SUM(L26:M26)</f>
        <v>6663</v>
      </c>
      <c r="O26" s="805">
        <f>4407+3</f>
        <v>4410</v>
      </c>
      <c r="P26" s="592">
        <v>1000</v>
      </c>
      <c r="Q26" s="437">
        <f>SUM(O26:P26)</f>
        <v>5410</v>
      </c>
    </row>
    <row r="27" spans="1:17" ht="18">
      <c r="A27" s="846"/>
      <c r="B27" s="371"/>
      <c r="C27" s="805"/>
      <c r="D27" s="592"/>
      <c r="E27" s="433"/>
      <c r="F27" s="805"/>
      <c r="G27" s="592"/>
      <c r="H27" s="434"/>
      <c r="I27" s="805"/>
      <c r="J27" s="592"/>
      <c r="K27" s="435"/>
      <c r="L27" s="805"/>
      <c r="M27" s="592"/>
      <c r="N27" s="436"/>
      <c r="O27" s="805"/>
      <c r="P27" s="592"/>
      <c r="Q27" s="437"/>
    </row>
    <row r="28" spans="1:17" ht="18">
      <c r="A28" s="846" t="s">
        <v>177</v>
      </c>
      <c r="B28" s="371"/>
      <c r="C28" s="805">
        <f>2599+10</f>
        <v>2609</v>
      </c>
      <c r="D28" s="592">
        <v>972</v>
      </c>
      <c r="E28" s="433">
        <f>SUM(C28:D28)</f>
        <v>3581</v>
      </c>
      <c r="F28" s="805">
        <v>2399</v>
      </c>
      <c r="G28" s="592">
        <v>0</v>
      </c>
      <c r="H28" s="434">
        <f>SUM(F28:G28)</f>
        <v>2399</v>
      </c>
      <c r="I28" s="805">
        <f>1145+3</f>
        <v>1148</v>
      </c>
      <c r="J28" s="592">
        <v>0</v>
      </c>
      <c r="K28" s="435">
        <f>SUM(I28:J28)</f>
        <v>1148</v>
      </c>
      <c r="L28" s="805">
        <v>1145</v>
      </c>
      <c r="M28" s="592">
        <v>0</v>
      </c>
      <c r="N28" s="436">
        <f>SUM(L28:M28)</f>
        <v>1145</v>
      </c>
      <c r="O28" s="805">
        <v>1146</v>
      </c>
      <c r="P28" s="592">
        <v>0</v>
      </c>
      <c r="Q28" s="437">
        <f>SUM(O28:P28)</f>
        <v>1146</v>
      </c>
    </row>
    <row r="29" spans="1:17" ht="18">
      <c r="A29" s="846"/>
      <c r="B29" s="371"/>
      <c r="C29" s="805"/>
      <c r="D29" s="592"/>
      <c r="E29" s="433"/>
      <c r="F29" s="805"/>
      <c r="G29" s="592"/>
      <c r="H29" s="434"/>
      <c r="I29" s="805"/>
      <c r="J29" s="592"/>
      <c r="K29" s="435"/>
      <c r="L29" s="805"/>
      <c r="M29" s="592"/>
      <c r="N29" s="436"/>
      <c r="O29" s="805"/>
      <c r="P29" s="592"/>
      <c r="Q29" s="437"/>
    </row>
    <row r="30" spans="1:17" ht="18">
      <c r="A30" s="846" t="s">
        <v>178</v>
      </c>
      <c r="B30" s="371"/>
      <c r="C30" s="805">
        <v>1777</v>
      </c>
      <c r="D30" s="592">
        <v>3447</v>
      </c>
      <c r="E30" s="433">
        <f>SUM(C30:D30)</f>
        <v>5224</v>
      </c>
      <c r="F30" s="805">
        <v>1569</v>
      </c>
      <c r="G30" s="592">
        <v>2431</v>
      </c>
      <c r="H30" s="434">
        <f>SUM(F30:G30)</f>
        <v>4000</v>
      </c>
      <c r="I30" s="805">
        <f>2205</f>
        <v>2205</v>
      </c>
      <c r="J30" s="592">
        <v>3099</v>
      </c>
      <c r="K30" s="435">
        <f>SUM(I30:J30)</f>
        <v>5304</v>
      </c>
      <c r="L30" s="805">
        <v>2314</v>
      </c>
      <c r="M30" s="592">
        <v>3222</v>
      </c>
      <c r="N30" s="436">
        <f>SUM(L30:M30)</f>
        <v>5536</v>
      </c>
      <c r="O30" s="805">
        <v>2345</v>
      </c>
      <c r="P30" s="592">
        <v>3350</v>
      </c>
      <c r="Q30" s="437">
        <f>SUM(O30:P30)</f>
        <v>5695</v>
      </c>
    </row>
    <row r="31" spans="1:17" ht="18">
      <c r="A31" s="846"/>
      <c r="B31" s="371"/>
      <c r="C31" s="805"/>
      <c r="D31" s="592"/>
      <c r="E31" s="433"/>
      <c r="F31" s="805"/>
      <c r="G31" s="592"/>
      <c r="H31" s="434"/>
      <c r="I31" s="805"/>
      <c r="J31" s="592"/>
      <c r="K31" s="435"/>
      <c r="L31" s="805"/>
      <c r="M31" s="592"/>
      <c r="N31" s="436"/>
      <c r="O31" s="805"/>
      <c r="P31" s="592"/>
      <c r="Q31" s="437"/>
    </row>
    <row r="32" spans="1:17" ht="18">
      <c r="A32" s="846" t="s">
        <v>179</v>
      </c>
      <c r="B32" s="371"/>
      <c r="C32" s="805">
        <f>11409+81731</f>
        <v>93140</v>
      </c>
      <c r="D32" s="592">
        <v>343966</v>
      </c>
      <c r="E32" s="433">
        <f>SUM(C32:D32)</f>
        <v>437106</v>
      </c>
      <c r="F32" s="805">
        <f>5393+40660</f>
        <v>46053</v>
      </c>
      <c r="G32" s="592">
        <v>349061</v>
      </c>
      <c r="H32" s="434">
        <f>SUM(F32:G32)</f>
        <v>395114</v>
      </c>
      <c r="I32" s="805">
        <f>42731+40093</f>
        <v>82824</v>
      </c>
      <c r="J32" s="592">
        <v>282145</v>
      </c>
      <c r="K32" s="435">
        <f>SUM(I32:J32)</f>
        <v>364969</v>
      </c>
      <c r="L32" s="805">
        <f>42580+40093</f>
        <v>82673</v>
      </c>
      <c r="M32" s="592">
        <v>275475</v>
      </c>
      <c r="N32" s="436">
        <f>SUM(L32:M32)</f>
        <v>358148</v>
      </c>
      <c r="O32" s="805">
        <f>48926+40093</f>
        <v>89019</v>
      </c>
      <c r="P32" s="592">
        <v>315247</v>
      </c>
      <c r="Q32" s="437">
        <f>SUM(O32:P32)</f>
        <v>404266</v>
      </c>
    </row>
    <row r="33" spans="1:17" ht="18">
      <c r="A33" s="846"/>
      <c r="B33" s="371"/>
      <c r="C33" s="805"/>
      <c r="D33" s="592"/>
      <c r="E33" s="433"/>
      <c r="F33" s="805"/>
      <c r="G33" s="592"/>
      <c r="H33" s="434"/>
      <c r="I33" s="805"/>
      <c r="J33" s="592"/>
      <c r="K33" s="435"/>
      <c r="L33" s="805"/>
      <c r="M33" s="592"/>
      <c r="N33" s="436"/>
      <c r="O33" s="805"/>
      <c r="P33" s="592"/>
      <c r="Q33" s="437"/>
    </row>
    <row r="34" spans="1:17" ht="18">
      <c r="A34" s="846" t="s">
        <v>180</v>
      </c>
      <c r="B34" s="371"/>
      <c r="C34" s="805">
        <v>3154</v>
      </c>
      <c r="D34" s="592">
        <v>2350</v>
      </c>
      <c r="E34" s="433">
        <f>SUM(C34:D34)</f>
        <v>5504</v>
      </c>
      <c r="F34" s="805">
        <f>1716+40</f>
        <v>1756</v>
      </c>
      <c r="G34" s="592">
        <v>2304</v>
      </c>
      <c r="H34" s="434">
        <f>SUM(F34:G34)</f>
        <v>4060</v>
      </c>
      <c r="I34" s="805">
        <f>1917+40</f>
        <v>1957</v>
      </c>
      <c r="J34" s="592">
        <v>1800</v>
      </c>
      <c r="K34" s="435">
        <f>SUM(I34:J34)</f>
        <v>3757</v>
      </c>
      <c r="L34" s="805">
        <f>1936+40</f>
        <v>1976</v>
      </c>
      <c r="M34" s="592">
        <v>1800</v>
      </c>
      <c r="N34" s="436">
        <f>SUM(L34:M34)</f>
        <v>3776</v>
      </c>
      <c r="O34" s="805">
        <f>1981+40</f>
        <v>2021</v>
      </c>
      <c r="P34" s="592">
        <v>1800</v>
      </c>
      <c r="Q34" s="437">
        <f>SUM(O34:P34)</f>
        <v>3821</v>
      </c>
    </row>
    <row r="35" spans="1:17" ht="18">
      <c r="A35" s="846"/>
      <c r="B35" s="371"/>
      <c r="C35" s="805"/>
      <c r="D35" s="592"/>
      <c r="E35" s="433"/>
      <c r="F35" s="805"/>
      <c r="G35" s="592"/>
      <c r="H35" s="434"/>
      <c r="I35" s="805"/>
      <c r="J35" s="592"/>
      <c r="K35" s="435"/>
      <c r="L35" s="805"/>
      <c r="M35" s="592"/>
      <c r="N35" s="436"/>
      <c r="O35" s="805"/>
      <c r="P35" s="592"/>
      <c r="Q35" s="437"/>
    </row>
    <row r="36" spans="1:17" ht="18">
      <c r="A36" s="846" t="s">
        <v>181</v>
      </c>
      <c r="B36" s="371"/>
      <c r="C36" s="805">
        <v>0</v>
      </c>
      <c r="D36" s="592">
        <v>0</v>
      </c>
      <c r="E36" s="433">
        <f>SUM(C36:D36)</f>
        <v>0</v>
      </c>
      <c r="F36" s="805">
        <v>0</v>
      </c>
      <c r="G36" s="592">
        <v>0</v>
      </c>
      <c r="H36" s="434">
        <f>SUM(F36:G36)</f>
        <v>0</v>
      </c>
      <c r="I36" s="805">
        <v>0</v>
      </c>
      <c r="J36" s="592">
        <v>0</v>
      </c>
      <c r="K36" s="435">
        <f>SUM(I36:J36)</f>
        <v>0</v>
      </c>
      <c r="L36" s="805">
        <v>0</v>
      </c>
      <c r="M36" s="592">
        <v>0</v>
      </c>
      <c r="N36" s="436">
        <f>SUM(L36:M36)</f>
        <v>0</v>
      </c>
      <c r="O36" s="805">
        <v>0</v>
      </c>
      <c r="P36" s="592">
        <v>0</v>
      </c>
      <c r="Q36" s="437">
        <f>SUM(O36:P36)</f>
        <v>0</v>
      </c>
    </row>
    <row r="37" spans="1:17" ht="18" hidden="1">
      <c r="A37" s="846"/>
      <c r="B37" s="371"/>
      <c r="C37" s="805"/>
      <c r="D37" s="592"/>
      <c r="E37" s="433"/>
      <c r="F37" s="805"/>
      <c r="G37" s="592"/>
      <c r="H37" s="434"/>
      <c r="I37" s="805"/>
      <c r="J37" s="592"/>
      <c r="K37" s="435"/>
      <c r="L37" s="805"/>
      <c r="M37" s="592"/>
      <c r="N37" s="436"/>
      <c r="O37" s="997"/>
      <c r="P37" s="804"/>
      <c r="Q37" s="437"/>
    </row>
    <row r="38" spans="1:17" ht="18" hidden="1">
      <c r="A38" s="846" t="s">
        <v>182</v>
      </c>
      <c r="B38" s="371"/>
      <c r="C38" s="805">
        <v>0</v>
      </c>
      <c r="D38" s="592">
        <v>0</v>
      </c>
      <c r="E38" s="433">
        <f>SUM(C38:D38)</f>
        <v>0</v>
      </c>
      <c r="F38" s="805">
        <v>0</v>
      </c>
      <c r="G38" s="592">
        <v>0</v>
      </c>
      <c r="H38" s="434">
        <f>SUM(F38:G38)</f>
        <v>0</v>
      </c>
      <c r="I38" s="805">
        <v>0</v>
      </c>
      <c r="J38" s="592">
        <v>0</v>
      </c>
      <c r="K38" s="435">
        <f>SUM(I38:J38)</f>
        <v>0</v>
      </c>
      <c r="L38" s="805">
        <v>0</v>
      </c>
      <c r="M38" s="592">
        <v>0</v>
      </c>
      <c r="N38" s="436">
        <f>SUM(L38:M38)</f>
        <v>0</v>
      </c>
      <c r="O38" s="997">
        <f>ROUND(L38*1.06,0)</f>
        <v>0</v>
      </c>
      <c r="P38" s="804">
        <f>ROUND(M38*1.06,0)</f>
        <v>0</v>
      </c>
      <c r="Q38" s="437">
        <f>SUM(O38:P38)</f>
        <v>0</v>
      </c>
    </row>
    <row r="39" spans="1:17" ht="18.75" thickBot="1">
      <c r="A39" s="995"/>
      <c r="B39" s="996"/>
      <c r="C39" s="609"/>
      <c r="D39" s="601"/>
      <c r="E39" s="438"/>
      <c r="F39" s="806"/>
      <c r="G39" s="807"/>
      <c r="H39" s="439"/>
      <c r="I39" s="808"/>
      <c r="J39" s="601"/>
      <c r="K39" s="440"/>
      <c r="L39" s="586"/>
      <c r="M39" s="804"/>
      <c r="N39" s="430"/>
      <c r="O39" s="998"/>
      <c r="P39" s="809"/>
      <c r="Q39" s="441"/>
    </row>
    <row r="40" spans="1:17" s="364" customFormat="1" ht="30" customHeight="1" thickBot="1">
      <c r="A40" s="442" t="s">
        <v>4</v>
      </c>
      <c r="B40" s="443"/>
      <c r="C40" s="444">
        <f>SUM(C20:C38)</f>
        <v>157679</v>
      </c>
      <c r="D40" s="444">
        <f aca="true" t="shared" si="1" ref="D40:Q40">SUM(D20:D38)</f>
        <v>402114</v>
      </c>
      <c r="E40" s="445">
        <f t="shared" si="1"/>
        <v>559793</v>
      </c>
      <c r="F40" s="370">
        <f t="shared" si="1"/>
        <v>73921</v>
      </c>
      <c r="G40" s="444">
        <f t="shared" si="1"/>
        <v>420159</v>
      </c>
      <c r="H40" s="445">
        <f t="shared" si="1"/>
        <v>494080</v>
      </c>
      <c r="I40" s="370">
        <f t="shared" si="1"/>
        <v>172351</v>
      </c>
      <c r="J40" s="444">
        <f t="shared" si="1"/>
        <v>345603</v>
      </c>
      <c r="K40" s="445">
        <f t="shared" si="1"/>
        <v>517954</v>
      </c>
      <c r="L40" s="370">
        <f t="shared" si="1"/>
        <v>109336</v>
      </c>
      <c r="M40" s="446">
        <f t="shared" si="1"/>
        <v>344276</v>
      </c>
      <c r="N40" s="445">
        <f t="shared" si="1"/>
        <v>453612</v>
      </c>
      <c r="O40" s="370">
        <f t="shared" si="1"/>
        <v>111434</v>
      </c>
      <c r="P40" s="444">
        <f t="shared" si="1"/>
        <v>386169</v>
      </c>
      <c r="Q40" s="445">
        <f t="shared" si="1"/>
        <v>497603</v>
      </c>
    </row>
    <row r="41" ht="18.75" thickTop="1"/>
  </sheetData>
  <sheetProtection password="CA7F" sheet="1" objects="1" scenarios="1"/>
  <mergeCells count="6">
    <mergeCell ref="A1:Q1"/>
    <mergeCell ref="A3:Q3"/>
    <mergeCell ref="F9:H9"/>
    <mergeCell ref="F6:H6"/>
    <mergeCell ref="C6:E6"/>
    <mergeCell ref="C9:E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74"/>
  <sheetViews>
    <sheetView showZeros="0" zoomScale="60" zoomScaleNormal="60" workbookViewId="0" topLeftCell="I8">
      <selection activeCell="P60" sqref="P60"/>
    </sheetView>
  </sheetViews>
  <sheetFormatPr defaultColWidth="9.140625" defaultRowHeight="12.75"/>
  <cols>
    <col min="1" max="1" width="5.57421875" style="482" customWidth="1"/>
    <col min="2" max="2" width="54.28125" style="447" customWidth="1"/>
    <col min="3" max="3" width="1.7109375" style="447" customWidth="1"/>
    <col min="4" max="6" width="15.7109375" style="447" customWidth="1"/>
    <col min="7" max="7" width="15.7109375" style="461" customWidth="1"/>
    <col min="8" max="16" width="15.7109375" style="447" customWidth="1"/>
    <col min="17" max="17" width="1.7109375" style="447" customWidth="1"/>
    <col min="18" max="18" width="2.7109375" style="447" customWidth="1"/>
    <col min="19" max="19" width="12.7109375" style="448" customWidth="1"/>
    <col min="20" max="20" width="12.7109375" style="449" customWidth="1"/>
    <col min="21" max="16384" width="10.28125" style="447" customWidth="1"/>
  </cols>
  <sheetData>
    <row r="1" spans="1:20" ht="24.75">
      <c r="A1" s="1" t="s">
        <v>172</v>
      </c>
      <c r="B1" s="821"/>
      <c r="C1" s="821"/>
      <c r="D1" s="821"/>
      <c r="E1" s="821"/>
      <c r="F1" s="821"/>
      <c r="G1" s="822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2"/>
      <c r="S1" s="3"/>
      <c r="T1" s="4"/>
    </row>
    <row r="2" spans="1:191" ht="18" customHeight="1">
      <c r="A2" s="823"/>
      <c r="B2" s="5"/>
      <c r="C2" s="5"/>
      <c r="D2" s="824"/>
      <c r="E2" s="824"/>
      <c r="F2" s="5"/>
      <c r="G2" s="825"/>
      <c r="H2" s="5"/>
      <c r="I2" s="5"/>
      <c r="J2" s="5"/>
      <c r="K2" s="5"/>
      <c r="L2" s="5"/>
      <c r="M2" s="5"/>
      <c r="N2" s="824"/>
      <c r="O2" s="824"/>
      <c r="P2" s="824"/>
      <c r="Q2" s="6" t="s">
        <v>166</v>
      </c>
      <c r="R2" s="5"/>
      <c r="S2" s="826"/>
      <c r="T2" s="827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1"/>
      <c r="FB2" s="451"/>
      <c r="FC2" s="451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  <c r="GA2" s="451"/>
      <c r="GB2" s="451"/>
      <c r="GC2" s="451"/>
      <c r="GD2" s="451"/>
      <c r="GE2" s="451"/>
      <c r="GF2" s="451"/>
      <c r="GG2" s="451"/>
      <c r="GH2" s="451"/>
      <c r="GI2" s="451"/>
    </row>
    <row r="3" spans="1:191" ht="21.75" customHeight="1">
      <c r="A3" s="7" t="s">
        <v>64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9"/>
      <c r="R3" s="830"/>
      <c r="S3" s="831"/>
      <c r="T3" s="832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</row>
    <row r="4" spans="1:20" ht="18" customHeight="1" thickBot="1">
      <c r="A4" s="833"/>
      <c r="B4" s="834"/>
      <c r="C4" s="834"/>
      <c r="D4" s="835"/>
      <c r="E4" s="835"/>
      <c r="F4" s="836"/>
      <c r="G4" s="836"/>
      <c r="H4" s="836"/>
      <c r="I4" s="836"/>
      <c r="J4" s="836"/>
      <c r="K4" s="836"/>
      <c r="L4" s="836"/>
      <c r="M4" s="836"/>
      <c r="N4" s="835"/>
      <c r="O4" s="835"/>
      <c r="P4" s="835"/>
      <c r="Q4" s="2"/>
      <c r="R4" s="2"/>
      <c r="S4" s="4"/>
      <c r="T4" s="4"/>
    </row>
    <row r="5" spans="1:20" s="462" customFormat="1" ht="30" customHeight="1" thickBot="1" thickTop="1">
      <c r="A5" s="8"/>
      <c r="B5" s="9"/>
      <c r="C5" s="10"/>
      <c r="D5" s="1032" t="s">
        <v>138</v>
      </c>
      <c r="E5" s="1032"/>
      <c r="F5" s="1033"/>
      <c r="G5" s="11"/>
      <c r="H5" s="1034" t="s">
        <v>7</v>
      </c>
      <c r="I5" s="1035"/>
      <c r="J5" s="1035"/>
      <c r="K5" s="1035"/>
      <c r="L5" s="1035"/>
      <c r="M5" s="1035"/>
      <c r="N5" s="1035"/>
      <c r="O5" s="1035"/>
      <c r="P5" s="1035"/>
      <c r="Q5" s="1036"/>
      <c r="R5" s="12"/>
      <c r="S5" s="13"/>
      <c r="T5" s="14"/>
    </row>
    <row r="6" spans="1:20" s="462" customFormat="1" ht="30" customHeight="1" thickBot="1">
      <c r="A6" s="15"/>
      <c r="B6" s="16"/>
      <c r="C6" s="17"/>
      <c r="D6" s="18" t="s">
        <v>105</v>
      </c>
      <c r="E6" s="19" t="s">
        <v>0</v>
      </c>
      <c r="F6" s="19" t="s">
        <v>1</v>
      </c>
      <c r="G6" s="20" t="s">
        <v>2</v>
      </c>
      <c r="H6" s="21" t="s">
        <v>3</v>
      </c>
      <c r="I6" s="22"/>
      <c r="J6" s="23"/>
      <c r="K6" s="21" t="s">
        <v>15</v>
      </c>
      <c r="L6" s="22"/>
      <c r="M6" s="24"/>
      <c r="N6" s="25" t="s">
        <v>71</v>
      </c>
      <c r="O6" s="26"/>
      <c r="P6" s="27"/>
      <c r="Q6" s="28"/>
      <c r="R6" s="12"/>
      <c r="S6" s="29"/>
      <c r="T6" s="30"/>
    </row>
    <row r="7" spans="1:20" s="462" customFormat="1" ht="19.5" customHeight="1">
      <c r="A7" s="31" t="s">
        <v>14</v>
      </c>
      <c r="B7" s="32"/>
      <c r="C7" s="33"/>
      <c r="D7" s="34" t="s">
        <v>61</v>
      </c>
      <c r="E7" s="34" t="s">
        <v>61</v>
      </c>
      <c r="F7" s="35" t="s">
        <v>82</v>
      </c>
      <c r="G7" s="36" t="s">
        <v>7</v>
      </c>
      <c r="H7" s="37" t="s">
        <v>7</v>
      </c>
      <c r="I7" s="38" t="s">
        <v>8</v>
      </c>
      <c r="J7" s="38" t="s">
        <v>9</v>
      </c>
      <c r="K7" s="37" t="s">
        <v>7</v>
      </c>
      <c r="L7" s="38" t="s">
        <v>8</v>
      </c>
      <c r="M7" s="39" t="s">
        <v>9</v>
      </c>
      <c r="N7" s="37" t="s">
        <v>7</v>
      </c>
      <c r="O7" s="38" t="s">
        <v>8</v>
      </c>
      <c r="P7" s="40" t="s">
        <v>9</v>
      </c>
      <c r="Q7" s="41"/>
      <c r="R7" s="12"/>
      <c r="S7" s="42" t="s">
        <v>10</v>
      </c>
      <c r="T7" s="43" t="s">
        <v>10</v>
      </c>
    </row>
    <row r="8" spans="1:20" s="462" customFormat="1" ht="19.5" customHeight="1">
      <c r="A8" s="44"/>
      <c r="B8" s="45"/>
      <c r="C8" s="33"/>
      <c r="D8" s="34"/>
      <c r="E8" s="34"/>
      <c r="F8" s="46" t="s">
        <v>83</v>
      </c>
      <c r="G8" s="36" t="s">
        <v>13</v>
      </c>
      <c r="H8" s="37" t="s">
        <v>13</v>
      </c>
      <c r="I8" s="38" t="s">
        <v>11</v>
      </c>
      <c r="J8" s="38" t="s">
        <v>12</v>
      </c>
      <c r="K8" s="37" t="s">
        <v>13</v>
      </c>
      <c r="L8" s="38" t="s">
        <v>11</v>
      </c>
      <c r="M8" s="39" t="s">
        <v>12</v>
      </c>
      <c r="N8" s="37" t="s">
        <v>13</v>
      </c>
      <c r="O8" s="38" t="s">
        <v>11</v>
      </c>
      <c r="P8" s="46" t="s">
        <v>12</v>
      </c>
      <c r="Q8" s="47"/>
      <c r="R8" s="12"/>
      <c r="S8" s="29" t="s">
        <v>105</v>
      </c>
      <c r="T8" s="48" t="s">
        <v>2</v>
      </c>
    </row>
    <row r="9" spans="1:20" s="462" customFormat="1" ht="19.5" customHeight="1">
      <c r="A9" s="44"/>
      <c r="B9" s="45"/>
      <c r="C9" s="33"/>
      <c r="D9" s="34"/>
      <c r="E9" s="34"/>
      <c r="F9" s="46" t="s">
        <v>62</v>
      </c>
      <c r="G9" s="36" t="s">
        <v>58</v>
      </c>
      <c r="H9" s="49" t="s">
        <v>58</v>
      </c>
      <c r="I9" s="38" t="s">
        <v>13</v>
      </c>
      <c r="J9" s="38" t="s">
        <v>13</v>
      </c>
      <c r="K9" s="49" t="s">
        <v>58</v>
      </c>
      <c r="L9" s="38" t="s">
        <v>13</v>
      </c>
      <c r="M9" s="39" t="s">
        <v>13</v>
      </c>
      <c r="N9" s="37" t="s">
        <v>136</v>
      </c>
      <c r="O9" s="38" t="s">
        <v>13</v>
      </c>
      <c r="P9" s="46" t="s">
        <v>13</v>
      </c>
      <c r="Q9" s="50"/>
      <c r="R9" s="12"/>
      <c r="S9" s="42" t="s">
        <v>16</v>
      </c>
      <c r="T9" s="43" t="s">
        <v>16</v>
      </c>
    </row>
    <row r="10" spans="1:20" s="462" customFormat="1" ht="19.5" customHeight="1">
      <c r="A10" s="44"/>
      <c r="B10" s="45"/>
      <c r="C10" s="33"/>
      <c r="D10" s="51"/>
      <c r="E10" s="51"/>
      <c r="F10" s="46" t="s">
        <v>157</v>
      </c>
      <c r="G10" s="52"/>
      <c r="H10" s="49"/>
      <c r="I10" s="38"/>
      <c r="J10" s="38"/>
      <c r="K10" s="49"/>
      <c r="L10" s="38"/>
      <c r="M10" s="39"/>
      <c r="N10" s="53" t="s">
        <v>63</v>
      </c>
      <c r="O10" s="38"/>
      <c r="P10" s="46"/>
      <c r="Q10" s="50"/>
      <c r="R10" s="12"/>
      <c r="S10" s="54" t="s">
        <v>2</v>
      </c>
      <c r="T10" s="55" t="s">
        <v>71</v>
      </c>
    </row>
    <row r="11" spans="1:20" s="463" customFormat="1" ht="18" customHeight="1" thickBot="1">
      <c r="A11" s="56"/>
      <c r="B11" s="57">
        <v>-1</v>
      </c>
      <c r="C11" s="58"/>
      <c r="D11" s="59">
        <f>B11-1</f>
        <v>-2</v>
      </c>
      <c r="E11" s="59">
        <f>+D11-1</f>
        <v>-3</v>
      </c>
      <c r="F11" s="60">
        <f>E11-1</f>
        <v>-4</v>
      </c>
      <c r="G11" s="61">
        <f>F11-1</f>
        <v>-5</v>
      </c>
      <c r="H11" s="62">
        <f>G11-1</f>
        <v>-6</v>
      </c>
      <c r="I11" s="63">
        <f aca="true" t="shared" si="0" ref="I11:P11">H11-1</f>
        <v>-7</v>
      </c>
      <c r="J11" s="63">
        <f t="shared" si="0"/>
        <v>-8</v>
      </c>
      <c r="K11" s="64">
        <f>J11-1</f>
        <v>-9</v>
      </c>
      <c r="L11" s="65">
        <f t="shared" si="0"/>
        <v>-10</v>
      </c>
      <c r="M11" s="66">
        <f t="shared" si="0"/>
        <v>-11</v>
      </c>
      <c r="N11" s="64">
        <f>M11-1</f>
        <v>-12</v>
      </c>
      <c r="O11" s="65">
        <f t="shared" si="0"/>
        <v>-13</v>
      </c>
      <c r="P11" s="60">
        <f t="shared" si="0"/>
        <v>-14</v>
      </c>
      <c r="Q11" s="67"/>
      <c r="R11" s="68"/>
      <c r="S11" s="62">
        <f>P11-1</f>
        <v>-15</v>
      </c>
      <c r="T11" s="69">
        <f>S11-1</f>
        <v>-16</v>
      </c>
    </row>
    <row r="12" spans="1:20" ht="18" customHeight="1">
      <c r="A12" s="70"/>
      <c r="B12" s="71"/>
      <c r="C12" s="72"/>
      <c r="D12" s="73" t="s">
        <v>6</v>
      </c>
      <c r="E12" s="73" t="s">
        <v>6</v>
      </c>
      <c r="F12" s="74" t="s">
        <v>6</v>
      </c>
      <c r="G12" s="75" t="s">
        <v>6</v>
      </c>
      <c r="H12" s="76" t="s">
        <v>6</v>
      </c>
      <c r="I12" s="77" t="s">
        <v>6</v>
      </c>
      <c r="J12" s="77" t="s">
        <v>6</v>
      </c>
      <c r="K12" s="76" t="s">
        <v>6</v>
      </c>
      <c r="L12" s="77" t="s">
        <v>6</v>
      </c>
      <c r="M12" s="78" t="s">
        <v>6</v>
      </c>
      <c r="N12" s="76" t="s">
        <v>6</v>
      </c>
      <c r="O12" s="77" t="s">
        <v>6</v>
      </c>
      <c r="P12" s="74" t="s">
        <v>6</v>
      </c>
      <c r="Q12" s="79"/>
      <c r="R12" s="2"/>
      <c r="S12" s="80"/>
      <c r="T12" s="81"/>
    </row>
    <row r="13" spans="1:20" ht="18" customHeight="1">
      <c r="A13" s="837"/>
      <c r="B13" s="838"/>
      <c r="C13" s="839"/>
      <c r="D13" s="71"/>
      <c r="E13" s="71"/>
      <c r="F13" s="839"/>
      <c r="G13" s="840"/>
      <c r="H13" s="841"/>
      <c r="I13" s="842"/>
      <c r="J13" s="842"/>
      <c r="K13" s="841"/>
      <c r="L13" s="842"/>
      <c r="M13" s="82"/>
      <c r="N13" s="83"/>
      <c r="O13" s="843"/>
      <c r="P13" s="72"/>
      <c r="Q13" s="79"/>
      <c r="R13" s="2"/>
      <c r="S13" s="844"/>
      <c r="T13" s="845"/>
    </row>
    <row r="14" spans="1:20" ht="18" customHeight="1">
      <c r="A14" s="846" t="s">
        <v>173</v>
      </c>
      <c r="B14" s="847"/>
      <c r="C14" s="839"/>
      <c r="D14" s="71">
        <v>535107</v>
      </c>
      <c r="E14" s="71">
        <v>463552</v>
      </c>
      <c r="F14" s="464">
        <v>542571</v>
      </c>
      <c r="G14" s="848">
        <v>538377</v>
      </c>
      <c r="H14" s="83">
        <v>556957</v>
      </c>
      <c r="I14" s="465">
        <f>575701-H14</f>
        <v>18744</v>
      </c>
      <c r="J14" s="82">
        <f>H14+I14</f>
        <v>575701</v>
      </c>
      <c r="K14" s="83">
        <v>583712</v>
      </c>
      <c r="L14" s="465">
        <f>580660-K14</f>
        <v>-3052</v>
      </c>
      <c r="M14" s="82">
        <f>K14+L14</f>
        <v>580660</v>
      </c>
      <c r="N14" s="83">
        <f>ROUND(+K14*1.06,0)</f>
        <v>618735</v>
      </c>
      <c r="O14" s="466">
        <f>605202-N14</f>
        <v>-13533</v>
      </c>
      <c r="P14" s="72">
        <f>N14+O14</f>
        <v>605202</v>
      </c>
      <c r="Q14" s="79"/>
      <c r="R14" s="2"/>
      <c r="S14" s="84">
        <f>IF(D14&gt;0,((G14/D14)^(1/3))-1,"-")</f>
        <v>0.0020328405415486195</v>
      </c>
      <c r="T14" s="85">
        <f>IF(G14&gt;0,((P14/G14)^(1/3))-1,"-")</f>
        <v>0.03977160256555057</v>
      </c>
    </row>
    <row r="15" spans="1:20" ht="18" customHeight="1">
      <c r="A15" s="837"/>
      <c r="B15" s="838"/>
      <c r="C15" s="839"/>
      <c r="D15" s="71"/>
      <c r="E15" s="71"/>
      <c r="F15" s="464"/>
      <c r="G15" s="848"/>
      <c r="H15" s="83"/>
      <c r="I15" s="465"/>
      <c r="J15" s="82"/>
      <c r="K15" s="83"/>
      <c r="L15" s="465"/>
      <c r="M15" s="82"/>
      <c r="N15" s="83"/>
      <c r="O15" s="466"/>
      <c r="P15" s="72"/>
      <c r="Q15" s="79"/>
      <c r="R15" s="2"/>
      <c r="S15" s="86"/>
      <c r="T15" s="87"/>
    </row>
    <row r="16" spans="1:20" ht="18" customHeight="1">
      <c r="A16" s="846" t="s">
        <v>174</v>
      </c>
      <c r="B16" s="847"/>
      <c r="C16" s="839"/>
      <c r="D16" s="71">
        <v>3290091</v>
      </c>
      <c r="E16" s="71">
        <v>3105074</v>
      </c>
      <c r="F16" s="464">
        <v>3483344</v>
      </c>
      <c r="G16" s="848">
        <v>3477335</v>
      </c>
      <c r="H16" s="83">
        <v>3560232</v>
      </c>
      <c r="I16" s="465">
        <f>3006750-H16</f>
        <v>-553482</v>
      </c>
      <c r="J16" s="82">
        <f>H16+I16</f>
        <v>3006750</v>
      </c>
      <c r="K16" s="83">
        <v>3649113</v>
      </c>
      <c r="L16" s="465">
        <f>2944496-K16</f>
        <v>-704617</v>
      </c>
      <c r="M16" s="82">
        <f>K16+L16</f>
        <v>2944496</v>
      </c>
      <c r="N16" s="83">
        <f>ROUND(+K16*1.06,0)</f>
        <v>3868060</v>
      </c>
      <c r="O16" s="466">
        <f>3102947-N16</f>
        <v>-765113</v>
      </c>
      <c r="P16" s="72">
        <f>N16+O16</f>
        <v>3102947</v>
      </c>
      <c r="Q16" s="79"/>
      <c r="R16" s="2"/>
      <c r="S16" s="84">
        <f>IF(D16&gt;0,((G16/D16)^(1/3))-1,"-")</f>
        <v>0.018621582813097115</v>
      </c>
      <c r="T16" s="85">
        <f>IF(G16&gt;0,((P16/G16)^(1/3))-1,"-")</f>
        <v>-0.03725942587767328</v>
      </c>
    </row>
    <row r="17" spans="1:20" ht="18" customHeight="1">
      <c r="A17" s="837"/>
      <c r="B17" s="838"/>
      <c r="C17" s="839"/>
      <c r="D17" s="71"/>
      <c r="E17" s="71"/>
      <c r="F17" s="464"/>
      <c r="G17" s="848"/>
      <c r="H17" s="83"/>
      <c r="I17" s="465"/>
      <c r="J17" s="82"/>
      <c r="K17" s="83"/>
      <c r="L17" s="465"/>
      <c r="M17" s="82"/>
      <c r="N17" s="83"/>
      <c r="O17" s="466"/>
      <c r="P17" s="72"/>
      <c r="Q17" s="79"/>
      <c r="R17" s="2"/>
      <c r="S17" s="86"/>
      <c r="T17" s="87"/>
    </row>
    <row r="18" spans="1:20" ht="18" customHeight="1">
      <c r="A18" s="846" t="s">
        <v>175</v>
      </c>
      <c r="B18" s="847"/>
      <c r="C18" s="839"/>
      <c r="D18" s="71">
        <v>1962936</v>
      </c>
      <c r="E18" s="71">
        <v>1947211</v>
      </c>
      <c r="F18" s="464">
        <v>1945823</v>
      </c>
      <c r="G18" s="848">
        <v>2018664</v>
      </c>
      <c r="H18" s="83">
        <v>2080721</v>
      </c>
      <c r="I18" s="465">
        <f>2022864-H18</f>
        <v>-57857</v>
      </c>
      <c r="J18" s="82">
        <f>H18+I18</f>
        <v>2022864</v>
      </c>
      <c r="K18" s="83">
        <v>2155417</v>
      </c>
      <c r="L18" s="465">
        <f>2046312-K18</f>
        <v>-109105</v>
      </c>
      <c r="M18" s="82">
        <f>K18+L18</f>
        <v>2046312</v>
      </c>
      <c r="N18" s="83">
        <f>ROUND(+K18*1.06,0)</f>
        <v>2284742</v>
      </c>
      <c r="O18" s="466">
        <f>2127772-N18</f>
        <v>-156970</v>
      </c>
      <c r="P18" s="72">
        <f>N18+O18</f>
        <v>2127772</v>
      </c>
      <c r="Q18" s="79"/>
      <c r="R18" s="2"/>
      <c r="S18" s="84">
        <f>IF(D18&gt;0,((G18/D18)^(1/3))-1,"-")</f>
        <v>0.00937520610468967</v>
      </c>
      <c r="T18" s="85">
        <f>IF(G18&gt;0,((P18/G18)^(1/3))-1,"-")</f>
        <v>0.017701349733186822</v>
      </c>
    </row>
    <row r="19" spans="1:20" ht="18" customHeight="1">
      <c r="A19" s="837"/>
      <c r="B19" s="838"/>
      <c r="C19" s="839"/>
      <c r="D19" s="71"/>
      <c r="E19" s="71"/>
      <c r="F19" s="464"/>
      <c r="G19" s="848"/>
      <c r="H19" s="83"/>
      <c r="I19" s="465"/>
      <c r="J19" s="82"/>
      <c r="K19" s="83"/>
      <c r="L19" s="465"/>
      <c r="M19" s="82"/>
      <c r="N19" s="83"/>
      <c r="O19" s="466"/>
      <c r="P19" s="72"/>
      <c r="Q19" s="79"/>
      <c r="R19" s="2"/>
      <c r="S19" s="84"/>
      <c r="T19" s="87"/>
    </row>
    <row r="20" spans="1:20" ht="18" customHeight="1">
      <c r="A20" s="846" t="s">
        <v>176</v>
      </c>
      <c r="B20" s="847"/>
      <c r="C20" s="839"/>
      <c r="D20" s="71">
        <v>844986</v>
      </c>
      <c r="E20" s="71">
        <v>881859</v>
      </c>
      <c r="F20" s="464">
        <v>929468</v>
      </c>
      <c r="G20" s="848">
        <v>979668</v>
      </c>
      <c r="H20" s="83">
        <v>1039027</v>
      </c>
      <c r="I20" s="465">
        <f>978189-H20</f>
        <v>-60838</v>
      </c>
      <c r="J20" s="82">
        <f>H20+I20</f>
        <v>978189</v>
      </c>
      <c r="K20" s="83">
        <v>1097004</v>
      </c>
      <c r="L20" s="465">
        <f>976543-K20</f>
        <v>-120461</v>
      </c>
      <c r="M20" s="82">
        <f>K20+L20</f>
        <v>976543</v>
      </c>
      <c r="N20" s="83">
        <f>ROUND(+K20*1.06,0)</f>
        <v>1162824</v>
      </c>
      <c r="O20" s="466">
        <f>970726-N20</f>
        <v>-192098</v>
      </c>
      <c r="P20" s="72">
        <f>N20+O20</f>
        <v>970726</v>
      </c>
      <c r="Q20" s="79"/>
      <c r="R20" s="2"/>
      <c r="S20" s="84">
        <f>IF(D20&gt;0,((G20/D20)^(1/3))-1,"-")</f>
        <v>0.05053325083865978</v>
      </c>
      <c r="T20" s="85">
        <f>IF(G20&gt;0,((P20/G20)^(1/3))-1,"-")</f>
        <v>-0.003051831533507965</v>
      </c>
    </row>
    <row r="21" spans="1:20" ht="18" customHeight="1">
      <c r="A21" s="846"/>
      <c r="B21" s="847"/>
      <c r="C21" s="839"/>
      <c r="D21" s="71"/>
      <c r="E21" s="71"/>
      <c r="F21" s="464"/>
      <c r="G21" s="848"/>
      <c r="H21" s="83"/>
      <c r="I21" s="465"/>
      <c r="J21" s="82"/>
      <c r="K21" s="83"/>
      <c r="L21" s="465"/>
      <c r="M21" s="82"/>
      <c r="N21" s="83"/>
      <c r="O21" s="466"/>
      <c r="P21" s="72"/>
      <c r="Q21" s="79"/>
      <c r="R21" s="2"/>
      <c r="S21" s="88"/>
      <c r="T21" s="89"/>
    </row>
    <row r="22" spans="1:20" ht="18" customHeight="1">
      <c r="A22" s="846" t="s">
        <v>177</v>
      </c>
      <c r="B22" s="847"/>
      <c r="C22" s="839"/>
      <c r="D22" s="71">
        <v>928996</v>
      </c>
      <c r="E22" s="71">
        <v>971952</v>
      </c>
      <c r="F22" s="464">
        <v>1095152</v>
      </c>
      <c r="G22" s="848">
        <v>1144939</v>
      </c>
      <c r="H22" s="83">
        <v>1184072</v>
      </c>
      <c r="I22" s="465">
        <f>1125364-H22</f>
        <v>-58708</v>
      </c>
      <c r="J22" s="82">
        <f>H22+I22</f>
        <v>1125364</v>
      </c>
      <c r="K22" s="83">
        <v>1237547</v>
      </c>
      <c r="L22" s="465">
        <f>1132514-K22</f>
        <v>-105033</v>
      </c>
      <c r="M22" s="82">
        <f>K22+L22</f>
        <v>1132514</v>
      </c>
      <c r="N22" s="83">
        <f>ROUND(+K22*1.06,0)</f>
        <v>1311800</v>
      </c>
      <c r="O22" s="466">
        <f>1188222-N22</f>
        <v>-123578</v>
      </c>
      <c r="P22" s="72">
        <f>N22+O22</f>
        <v>1188222</v>
      </c>
      <c r="Q22" s="79"/>
      <c r="R22" s="2"/>
      <c r="S22" s="84">
        <f>IF(D22&gt;0,((G22/D22)^(1/3))-1,"-")</f>
        <v>0.0721515266215993</v>
      </c>
      <c r="T22" s="85">
        <f>IF(G22&gt;0,((P22/G22)^(1/3))-1,"-")</f>
        <v>0.012445715152686887</v>
      </c>
    </row>
    <row r="23" spans="1:20" ht="18" customHeight="1">
      <c r="A23" s="846"/>
      <c r="B23" s="847"/>
      <c r="C23" s="839"/>
      <c r="D23" s="71"/>
      <c r="E23" s="71"/>
      <c r="F23" s="71"/>
      <c r="G23" s="848"/>
      <c r="H23" s="83"/>
      <c r="I23" s="465"/>
      <c r="J23" s="82"/>
      <c r="K23" s="83"/>
      <c r="L23" s="465"/>
      <c r="M23" s="82"/>
      <c r="N23" s="83"/>
      <c r="O23" s="466"/>
      <c r="P23" s="72"/>
      <c r="Q23" s="79"/>
      <c r="R23" s="2"/>
      <c r="S23" s="88"/>
      <c r="T23" s="89"/>
    </row>
    <row r="24" spans="1:20" ht="18" customHeight="1">
      <c r="A24" s="846" t="s">
        <v>178</v>
      </c>
      <c r="B24" s="847"/>
      <c r="C24" s="839"/>
      <c r="D24" s="71">
        <v>148228</v>
      </c>
      <c r="E24" s="71">
        <v>127088</v>
      </c>
      <c r="F24" s="464">
        <v>151175</v>
      </c>
      <c r="G24" s="848">
        <v>149184</v>
      </c>
      <c r="H24" s="83">
        <v>150568</v>
      </c>
      <c r="I24" s="465">
        <f>139330-H24</f>
        <v>-11238</v>
      </c>
      <c r="J24" s="82">
        <f>H24+I24</f>
        <v>139330</v>
      </c>
      <c r="K24" s="83">
        <v>161471</v>
      </c>
      <c r="L24" s="465">
        <f>145036-K24</f>
        <v>-16435</v>
      </c>
      <c r="M24" s="82">
        <f>K24+L24</f>
        <v>145036</v>
      </c>
      <c r="N24" s="83">
        <f>ROUND(+K24*1.06,0)</f>
        <v>171159</v>
      </c>
      <c r="O24" s="466">
        <f>153771-N24</f>
        <v>-17388</v>
      </c>
      <c r="P24" s="72">
        <f>N24+O24</f>
        <v>153771</v>
      </c>
      <c r="Q24" s="79"/>
      <c r="R24" s="2"/>
      <c r="S24" s="84">
        <f>IF(D24&gt;0,((G24/D24)^(1/3))-1,"-")</f>
        <v>0.00214523590765614</v>
      </c>
      <c r="T24" s="85">
        <f>IF(G24&gt;0,((P24/G24)^(1/3))-1,"-")</f>
        <v>0.010145802929754533</v>
      </c>
    </row>
    <row r="25" spans="1:20" ht="18" customHeight="1">
      <c r="A25" s="846"/>
      <c r="B25" s="847"/>
      <c r="C25" s="839"/>
      <c r="D25" s="71"/>
      <c r="E25" s="71"/>
      <c r="F25" s="464"/>
      <c r="G25" s="848"/>
      <c r="H25" s="83"/>
      <c r="I25" s="465"/>
      <c r="J25" s="82"/>
      <c r="K25" s="83"/>
      <c r="L25" s="465"/>
      <c r="M25" s="82"/>
      <c r="N25" s="83"/>
      <c r="O25" s="466"/>
      <c r="P25" s="72"/>
      <c r="Q25" s="79"/>
      <c r="R25" s="2"/>
      <c r="S25" s="88"/>
      <c r="T25" s="89"/>
    </row>
    <row r="26" spans="1:20" ht="18" customHeight="1">
      <c r="A26" s="846" t="s">
        <v>179</v>
      </c>
      <c r="B26" s="847"/>
      <c r="C26" s="839"/>
      <c r="D26" s="71">
        <v>1128263</v>
      </c>
      <c r="E26" s="71">
        <v>1551301</v>
      </c>
      <c r="F26" s="464">
        <v>1668823</v>
      </c>
      <c r="G26" s="848">
        <v>1942782</v>
      </c>
      <c r="H26" s="83">
        <v>2012674</v>
      </c>
      <c r="I26" s="465">
        <f>2403028-H26-3</f>
        <v>390351</v>
      </c>
      <c r="J26" s="82">
        <f>H26+I26</f>
        <v>2403025</v>
      </c>
      <c r="K26" s="83">
        <v>2086799</v>
      </c>
      <c r="L26" s="465">
        <f>2699960-K26-174</f>
        <v>612987</v>
      </c>
      <c r="M26" s="82">
        <f>K26+L26</f>
        <v>2699786</v>
      </c>
      <c r="N26" s="83">
        <f>ROUND(+K26*1.06,0)</f>
        <v>2212007</v>
      </c>
      <c r="O26" s="466">
        <f>2838258-N26+90+47284</f>
        <v>673625</v>
      </c>
      <c r="P26" s="72">
        <f>N26+O26</f>
        <v>2885632</v>
      </c>
      <c r="Q26" s="79"/>
      <c r="R26" s="2"/>
      <c r="S26" s="84">
        <f>IF(D26&gt;0,((G26/D26)^(1/3))-1,"-")</f>
        <v>0.19859163276829728</v>
      </c>
      <c r="T26" s="85">
        <f>IF(G26&gt;0,((P26/G26)^(1/3))-1,"-")</f>
        <v>0.14096491896758967</v>
      </c>
    </row>
    <row r="27" spans="1:20" ht="18" customHeight="1">
      <c r="A27" s="846"/>
      <c r="B27" s="847"/>
      <c r="C27" s="839"/>
      <c r="D27" s="71"/>
      <c r="E27" s="71"/>
      <c r="F27" s="464"/>
      <c r="G27" s="848"/>
      <c r="H27" s="83"/>
      <c r="I27" s="465"/>
      <c r="J27" s="82"/>
      <c r="K27" s="83"/>
      <c r="L27" s="465"/>
      <c r="M27" s="82"/>
      <c r="N27" s="83"/>
      <c r="O27" s="466"/>
      <c r="P27" s="72"/>
      <c r="Q27" s="79"/>
      <c r="R27" s="2"/>
      <c r="S27" s="88"/>
      <c r="T27" s="89"/>
    </row>
    <row r="28" spans="1:20" ht="18" customHeight="1">
      <c r="A28" s="846" t="s">
        <v>180</v>
      </c>
      <c r="B28" s="847"/>
      <c r="C28" s="839"/>
      <c r="D28" s="71">
        <v>37321</v>
      </c>
      <c r="E28" s="71">
        <v>162770</v>
      </c>
      <c r="F28" s="464">
        <v>406519</v>
      </c>
      <c r="G28" s="848">
        <v>537974</v>
      </c>
      <c r="H28" s="83">
        <v>269773</v>
      </c>
      <c r="I28" s="465">
        <f>266890-H28</f>
        <v>-2883</v>
      </c>
      <c r="J28" s="82">
        <f>H28+I28</f>
        <v>266890</v>
      </c>
      <c r="K28" s="83">
        <v>235795</v>
      </c>
      <c r="L28" s="465">
        <f>220476-K28</f>
        <v>-15319</v>
      </c>
      <c r="M28" s="82">
        <f>K28+L28</f>
        <v>220476</v>
      </c>
      <c r="N28" s="83">
        <f>ROUND(+K28*1.06,0)</f>
        <v>249943</v>
      </c>
      <c r="O28" s="466">
        <f>230824-N28</f>
        <v>-19119</v>
      </c>
      <c r="P28" s="72">
        <f>N28+O28</f>
        <v>230824</v>
      </c>
      <c r="Q28" s="79"/>
      <c r="R28" s="2"/>
      <c r="S28" s="84">
        <f>IF(D28&gt;0,((G28/D28)^(1/3))-1,"-")</f>
        <v>1.433712867618019</v>
      </c>
      <c r="T28" s="85">
        <f>IF(G28&gt;0,((P28/G28)^(1/3))-1,"-")</f>
        <v>-0.24576521399039897</v>
      </c>
    </row>
    <row r="29" spans="1:20" ht="18" customHeight="1">
      <c r="A29" s="846"/>
      <c r="B29" s="847"/>
      <c r="C29" s="839"/>
      <c r="D29" s="71"/>
      <c r="E29" s="71"/>
      <c r="F29" s="464"/>
      <c r="G29" s="848"/>
      <c r="H29" s="83"/>
      <c r="I29" s="465"/>
      <c r="J29" s="82"/>
      <c r="K29" s="83"/>
      <c r="L29" s="465"/>
      <c r="M29" s="82"/>
      <c r="N29" s="83"/>
      <c r="O29" s="466"/>
      <c r="P29" s="72"/>
      <c r="Q29" s="79"/>
      <c r="R29" s="2"/>
      <c r="S29" s="88"/>
      <c r="T29" s="89"/>
    </row>
    <row r="30" spans="1:20" ht="18" customHeight="1">
      <c r="A30" s="846" t="s">
        <v>181</v>
      </c>
      <c r="B30" s="847"/>
      <c r="C30" s="839"/>
      <c r="D30" s="71">
        <v>1841339</v>
      </c>
      <c r="E30" s="71">
        <v>4721284</v>
      </c>
      <c r="F30" s="464">
        <v>5830075</v>
      </c>
      <c r="G30" s="848">
        <v>7625457</v>
      </c>
      <c r="H30" s="83">
        <v>8484514</v>
      </c>
      <c r="I30" s="465">
        <f>8973414-H30-140979</f>
        <v>347921</v>
      </c>
      <c r="J30" s="82">
        <f>H30+I30</f>
        <v>8832435</v>
      </c>
      <c r="K30" s="83">
        <v>8676187</v>
      </c>
      <c r="L30" s="465">
        <f>9236777-K30-87545</f>
        <v>473045</v>
      </c>
      <c r="M30" s="82">
        <f>K30+L30</f>
        <v>9149232</v>
      </c>
      <c r="N30" s="83">
        <f>ROUND(+K30*1.06,0)</f>
        <v>9196758</v>
      </c>
      <c r="O30" s="466">
        <f>8972849-N30</f>
        <v>-223909</v>
      </c>
      <c r="P30" s="72">
        <f>N30+O30</f>
        <v>8972849</v>
      </c>
      <c r="Q30" s="79"/>
      <c r="R30" s="2"/>
      <c r="S30" s="84">
        <f>IF(D30&gt;0,((G30/D30)^(1/3))-1,"-")</f>
        <v>0.6058711955049061</v>
      </c>
      <c r="T30" s="85">
        <f>IF(G30&gt;0,((P30/G30)^(1/3))-1,"-")</f>
        <v>0.05573477629762835</v>
      </c>
    </row>
    <row r="31" spans="1:20" ht="18" customHeight="1" hidden="1">
      <c r="A31" s="846"/>
      <c r="B31" s="847"/>
      <c r="C31" s="839"/>
      <c r="D31" s="71"/>
      <c r="E31" s="71"/>
      <c r="F31" s="71"/>
      <c r="G31" s="848"/>
      <c r="H31" s="83"/>
      <c r="I31" s="842"/>
      <c r="J31" s="82"/>
      <c r="K31" s="83"/>
      <c r="L31" s="842"/>
      <c r="M31" s="82"/>
      <c r="N31" s="83"/>
      <c r="O31" s="466"/>
      <c r="P31" s="72"/>
      <c r="Q31" s="79"/>
      <c r="R31" s="2"/>
      <c r="S31" s="88"/>
      <c r="T31" s="89"/>
    </row>
    <row r="32" spans="1:20" ht="18" customHeight="1" hidden="1">
      <c r="A32" s="846" t="s">
        <v>182</v>
      </c>
      <c r="B32" s="847"/>
      <c r="C32" s="839"/>
      <c r="D32" s="71">
        <v>0</v>
      </c>
      <c r="E32" s="71">
        <v>0</v>
      </c>
      <c r="F32" s="71">
        <v>0</v>
      </c>
      <c r="G32" s="848">
        <v>0</v>
      </c>
      <c r="H32" s="83">
        <v>0</v>
      </c>
      <c r="I32" s="842">
        <v>0</v>
      </c>
      <c r="J32" s="82">
        <f>H32+I32</f>
        <v>0</v>
      </c>
      <c r="K32" s="83">
        <v>0</v>
      </c>
      <c r="L32" s="842">
        <v>0</v>
      </c>
      <c r="M32" s="82">
        <f>K32+L32</f>
        <v>0</v>
      </c>
      <c r="N32" s="83">
        <f>ROUND(+K32*1.06,0)</f>
        <v>0</v>
      </c>
      <c r="O32" s="466">
        <v>0</v>
      </c>
      <c r="P32" s="72">
        <f>N32+O32</f>
        <v>0</v>
      </c>
      <c r="Q32" s="79"/>
      <c r="R32" s="2"/>
      <c r="S32" s="84" t="str">
        <f>IF(D32&gt;0,((G32/D32)^(1/3))-1,"-")</f>
        <v>-</v>
      </c>
      <c r="T32" s="85" t="str">
        <f>IF(G32&gt;0,((P32/G32)^(1/3))-1,"-")</f>
        <v>-</v>
      </c>
    </row>
    <row r="33" spans="1:20" ht="18" customHeight="1" hidden="1">
      <c r="A33" s="846"/>
      <c r="B33" s="847"/>
      <c r="C33" s="839"/>
      <c r="D33" s="71"/>
      <c r="E33" s="71"/>
      <c r="F33" s="71"/>
      <c r="G33" s="848"/>
      <c r="H33" s="83"/>
      <c r="I33" s="842"/>
      <c r="J33" s="839"/>
      <c r="K33" s="83"/>
      <c r="L33" s="842"/>
      <c r="M33" s="82"/>
      <c r="N33" s="83"/>
      <c r="O33" s="466"/>
      <c r="P33" s="72"/>
      <c r="Q33" s="79"/>
      <c r="R33" s="2"/>
      <c r="S33" s="88"/>
      <c r="T33" s="89"/>
    </row>
    <row r="34" spans="1:20" ht="18" customHeight="1" hidden="1">
      <c r="A34" s="90" t="s">
        <v>168</v>
      </c>
      <c r="B34" s="847"/>
      <c r="C34" s="839"/>
      <c r="D34" s="91">
        <f>D35+D36</f>
        <v>0</v>
      </c>
      <c r="E34" s="91">
        <f aca="true" t="shared" si="1" ref="E34:P34">E35+E36</f>
        <v>0</v>
      </c>
      <c r="F34" s="91">
        <f t="shared" si="1"/>
        <v>0</v>
      </c>
      <c r="G34" s="92">
        <f t="shared" si="1"/>
        <v>0</v>
      </c>
      <c r="H34" s="93">
        <f t="shared" si="1"/>
        <v>0</v>
      </c>
      <c r="I34" s="91">
        <f t="shared" si="1"/>
        <v>0</v>
      </c>
      <c r="J34" s="94">
        <f t="shared" si="1"/>
        <v>0</v>
      </c>
      <c r="K34" s="95">
        <f t="shared" si="1"/>
        <v>0</v>
      </c>
      <c r="L34" s="91">
        <f t="shared" si="1"/>
        <v>0</v>
      </c>
      <c r="M34" s="96">
        <f t="shared" si="1"/>
        <v>0</v>
      </c>
      <c r="N34" s="97">
        <f t="shared" si="1"/>
        <v>0</v>
      </c>
      <c r="O34" s="999">
        <f t="shared" si="1"/>
        <v>0</v>
      </c>
      <c r="P34" s="98">
        <f t="shared" si="1"/>
        <v>0</v>
      </c>
      <c r="Q34" s="79"/>
      <c r="R34" s="2"/>
      <c r="S34" s="99" t="str">
        <f>IF(D34&gt;0,((G34/D34)^(1/3))-1,"-")</f>
        <v>-</v>
      </c>
      <c r="T34" s="100" t="str">
        <f>IF(G34&gt;0,((P34/G34)^(1/3))-1,"-")</f>
        <v>-</v>
      </c>
    </row>
    <row r="35" spans="1:20" ht="18" customHeight="1" hidden="1">
      <c r="A35" s="846"/>
      <c r="B35" s="849" t="s">
        <v>185</v>
      </c>
      <c r="C35" s="839"/>
      <c r="D35" s="850">
        <v>0</v>
      </c>
      <c r="E35" s="850">
        <v>0</v>
      </c>
      <c r="F35" s="467">
        <v>0</v>
      </c>
      <c r="G35" s="851">
        <v>0</v>
      </c>
      <c r="H35" s="852">
        <v>0</v>
      </c>
      <c r="I35" s="468">
        <v>0</v>
      </c>
      <c r="J35" s="101">
        <f>H35+I35</f>
        <v>0</v>
      </c>
      <c r="K35" s="852">
        <v>0</v>
      </c>
      <c r="L35" s="468">
        <v>0</v>
      </c>
      <c r="M35" s="101">
        <f>K35+L35</f>
        <v>0</v>
      </c>
      <c r="N35" s="102">
        <f>ROUND(+K35*1.06,0)</f>
        <v>0</v>
      </c>
      <c r="O35" s="469">
        <v>0</v>
      </c>
      <c r="P35" s="103">
        <f>N35+O35</f>
        <v>0</v>
      </c>
      <c r="Q35" s="79"/>
      <c r="R35" s="2"/>
      <c r="S35" s="104" t="str">
        <f>IF(D35&gt;0,((G35/D35)^(1/3))-1,"-")</f>
        <v>-</v>
      </c>
      <c r="T35" s="105" t="str">
        <f>IF(G35&gt;0,((P35/G35)^(1/3))-1,"-")</f>
        <v>-</v>
      </c>
    </row>
    <row r="36" spans="1:20" ht="18" customHeight="1" hidden="1">
      <c r="A36" s="846"/>
      <c r="B36" s="849" t="s">
        <v>185</v>
      </c>
      <c r="C36" s="839"/>
      <c r="D36" s="853">
        <v>0</v>
      </c>
      <c r="E36" s="853">
        <v>0</v>
      </c>
      <c r="F36" s="470">
        <v>0</v>
      </c>
      <c r="G36" s="854">
        <v>0</v>
      </c>
      <c r="H36" s="855">
        <v>0</v>
      </c>
      <c r="I36" s="471">
        <v>0</v>
      </c>
      <c r="J36" s="106">
        <f>H36+I36</f>
        <v>0</v>
      </c>
      <c r="K36" s="855">
        <v>0</v>
      </c>
      <c r="L36" s="471">
        <v>0</v>
      </c>
      <c r="M36" s="106">
        <f>K36+L36</f>
        <v>0</v>
      </c>
      <c r="N36" s="107">
        <f>ROUND(+K36*1.06,0)</f>
        <v>0</v>
      </c>
      <c r="O36" s="472">
        <v>0</v>
      </c>
      <c r="P36" s="108">
        <f>N36+O36</f>
        <v>0</v>
      </c>
      <c r="Q36" s="79"/>
      <c r="R36" s="2"/>
      <c r="S36" s="109" t="str">
        <f>IF(D36&gt;0,((G36/D36)^(1/3))-1,"-")</f>
        <v>-</v>
      </c>
      <c r="T36" s="110" t="str">
        <f>IF(G36&gt;0,((P36/G36)^(1/3))-1,"-")</f>
        <v>-</v>
      </c>
    </row>
    <row r="37" spans="1:20" s="473" customFormat="1" ht="18" customHeight="1" hidden="1" thickBot="1">
      <c r="A37" s="90"/>
      <c r="B37" s="111"/>
      <c r="C37" s="856"/>
      <c r="D37" s="112"/>
      <c r="E37" s="112"/>
      <c r="F37" s="113"/>
      <c r="G37" s="114"/>
      <c r="H37" s="115"/>
      <c r="I37" s="116"/>
      <c r="J37" s="116"/>
      <c r="K37" s="115"/>
      <c r="L37" s="116"/>
      <c r="M37" s="117"/>
      <c r="N37" s="115"/>
      <c r="O37" s="475"/>
      <c r="P37" s="113"/>
      <c r="Q37" s="118"/>
      <c r="R37" s="119"/>
      <c r="S37" s="857"/>
      <c r="T37" s="858"/>
    </row>
    <row r="38" spans="1:29" ht="30" customHeight="1" hidden="1">
      <c r="A38" s="120" t="s">
        <v>98</v>
      </c>
      <c r="B38" s="121"/>
      <c r="C38" s="122"/>
      <c r="D38" s="123">
        <f>SUM(D14:D32)+D34</f>
        <v>10717267</v>
      </c>
      <c r="E38" s="123">
        <f aca="true" t="shared" si="2" ref="E38:P38">SUM(E14:E32)+E34</f>
        <v>13932091</v>
      </c>
      <c r="F38" s="124">
        <f t="shared" si="2"/>
        <v>16052950</v>
      </c>
      <c r="G38" s="125">
        <f t="shared" si="2"/>
        <v>18414380</v>
      </c>
      <c r="H38" s="126">
        <f t="shared" si="2"/>
        <v>19338538</v>
      </c>
      <c r="I38" s="123">
        <f t="shared" si="2"/>
        <v>12010</v>
      </c>
      <c r="J38" s="124">
        <f t="shared" si="2"/>
        <v>19350548</v>
      </c>
      <c r="K38" s="126">
        <f t="shared" si="2"/>
        <v>19883045</v>
      </c>
      <c r="L38" s="123">
        <f t="shared" si="2"/>
        <v>12010</v>
      </c>
      <c r="M38" s="124">
        <f t="shared" si="2"/>
        <v>19895055</v>
      </c>
      <c r="N38" s="126">
        <f t="shared" si="2"/>
        <v>21076028</v>
      </c>
      <c r="O38" s="1000">
        <f t="shared" si="2"/>
        <v>-838083</v>
      </c>
      <c r="P38" s="127">
        <f t="shared" si="2"/>
        <v>20237945</v>
      </c>
      <c r="Q38" s="128"/>
      <c r="R38" s="5"/>
      <c r="S38" s="129">
        <f>IF(D38&gt;0,((G38/D38)^(1/3))-1,"-")</f>
        <v>0.1977265689144907</v>
      </c>
      <c r="T38" s="130">
        <f>IF(G38&gt;0,((P38/G38)^(1/3))-1,"-")</f>
        <v>0.03197641058689049</v>
      </c>
      <c r="U38" s="451"/>
      <c r="V38" s="451"/>
      <c r="W38" s="451"/>
      <c r="X38" s="451"/>
      <c r="Y38" s="451"/>
      <c r="Z38" s="451"/>
      <c r="AA38" s="451"/>
      <c r="AB38" s="451"/>
      <c r="AC38" s="451"/>
    </row>
    <row r="39" spans="1:20" ht="18" customHeight="1" hidden="1">
      <c r="A39" s="859"/>
      <c r="B39" s="131"/>
      <c r="C39" s="836"/>
      <c r="D39" s="860"/>
      <c r="E39" s="861"/>
      <c r="F39" s="132"/>
      <c r="G39" s="862"/>
      <c r="H39" s="863"/>
      <c r="I39" s="864"/>
      <c r="J39" s="864"/>
      <c r="K39" s="863"/>
      <c r="L39" s="864"/>
      <c r="M39" s="133"/>
      <c r="N39" s="811"/>
      <c r="O39" s="478"/>
      <c r="P39" s="812"/>
      <c r="Q39" s="865"/>
      <c r="R39" s="836"/>
      <c r="S39" s="866"/>
      <c r="T39" s="867"/>
    </row>
    <row r="40" spans="1:20" ht="18" customHeight="1" hidden="1">
      <c r="A40" s="134" t="s">
        <v>169</v>
      </c>
      <c r="B40" s="131"/>
      <c r="C40" s="2"/>
      <c r="D40" s="135">
        <f>SUM(D41:D43)</f>
        <v>0</v>
      </c>
      <c r="E40" s="135">
        <f aca="true" t="shared" si="3" ref="E40:P40">SUM(E41:E43)</f>
        <v>0</v>
      </c>
      <c r="F40" s="136">
        <f t="shared" si="3"/>
        <v>0</v>
      </c>
      <c r="G40" s="137">
        <f t="shared" si="3"/>
        <v>0</v>
      </c>
      <c r="H40" s="138">
        <f t="shared" si="3"/>
        <v>0</v>
      </c>
      <c r="I40" s="135">
        <f t="shared" si="3"/>
        <v>0</v>
      </c>
      <c r="J40" s="136">
        <f t="shared" si="3"/>
        <v>0</v>
      </c>
      <c r="K40" s="138">
        <f t="shared" si="3"/>
        <v>0</v>
      </c>
      <c r="L40" s="135">
        <f t="shared" si="3"/>
        <v>0</v>
      </c>
      <c r="M40" s="136">
        <f t="shared" si="3"/>
        <v>0</v>
      </c>
      <c r="N40" s="138">
        <f t="shared" si="3"/>
        <v>0</v>
      </c>
      <c r="O40" s="1001">
        <f t="shared" si="3"/>
        <v>0</v>
      </c>
      <c r="P40" s="139">
        <f t="shared" si="3"/>
        <v>0</v>
      </c>
      <c r="Q40" s="140"/>
      <c r="R40" s="5"/>
      <c r="S40" s="141" t="str">
        <f>IF(D40&gt;0,((G40/D40)^(1/3))-1,"-")</f>
        <v>-</v>
      </c>
      <c r="T40" s="142" t="str">
        <f>IF(G40&gt;0,((P40/G40)^(1/3))-1,"-")</f>
        <v>-</v>
      </c>
    </row>
    <row r="41" spans="1:20" ht="18" customHeight="1" hidden="1">
      <c r="A41" s="859"/>
      <c r="B41" s="131" t="s">
        <v>159</v>
      </c>
      <c r="C41" s="2"/>
      <c r="D41" s="868">
        <v>0</v>
      </c>
      <c r="E41" s="869">
        <v>0</v>
      </c>
      <c r="F41" s="143">
        <v>0</v>
      </c>
      <c r="G41" s="870">
        <v>0</v>
      </c>
      <c r="H41" s="871">
        <v>0</v>
      </c>
      <c r="I41" s="872">
        <v>0</v>
      </c>
      <c r="J41" s="143">
        <f>H41+I41</f>
        <v>0</v>
      </c>
      <c r="K41" s="871">
        <v>0</v>
      </c>
      <c r="L41" s="872">
        <v>0</v>
      </c>
      <c r="M41" s="144">
        <f>K41+L41</f>
        <v>0</v>
      </c>
      <c r="N41" s="83">
        <f>+K41*1.06</f>
        <v>0</v>
      </c>
      <c r="O41" s="480">
        <v>0</v>
      </c>
      <c r="P41" s="145">
        <f>N41+O41</f>
        <v>0</v>
      </c>
      <c r="Q41" s="873"/>
      <c r="R41" s="2"/>
      <c r="S41" s="104" t="str">
        <f>IF(D41&gt;0,((G41/D41)^(1/3))-1,"-")</f>
        <v>-</v>
      </c>
      <c r="T41" s="146" t="str">
        <f>IF(G41&gt;0,((P41/G41)^(1/3))-1,"-")</f>
        <v>-</v>
      </c>
    </row>
    <row r="42" spans="1:20" ht="18" customHeight="1" hidden="1">
      <c r="A42" s="874"/>
      <c r="B42" s="131" t="s">
        <v>159</v>
      </c>
      <c r="C42" s="2"/>
      <c r="D42" s="875">
        <v>0</v>
      </c>
      <c r="E42" s="861">
        <v>0</v>
      </c>
      <c r="F42" s="132">
        <v>0</v>
      </c>
      <c r="G42" s="862">
        <v>0</v>
      </c>
      <c r="H42" s="863">
        <v>0</v>
      </c>
      <c r="I42" s="864">
        <v>0</v>
      </c>
      <c r="J42" s="132">
        <f>H42+I42</f>
        <v>0</v>
      </c>
      <c r="K42" s="863">
        <v>0</v>
      </c>
      <c r="L42" s="864">
        <v>0</v>
      </c>
      <c r="M42" s="133">
        <f>K42+L42</f>
        <v>0</v>
      </c>
      <c r="N42" s="83">
        <f>+K42*1.06</f>
        <v>0</v>
      </c>
      <c r="O42" s="478">
        <v>0</v>
      </c>
      <c r="P42" s="147">
        <f>N42+O42</f>
        <v>0</v>
      </c>
      <c r="Q42" s="873"/>
      <c r="R42" s="2"/>
      <c r="S42" s="84" t="str">
        <f>IF(D42&gt;0,((G42/D42)^(1/3))-1,"-")</f>
        <v>-</v>
      </c>
      <c r="T42" s="85" t="str">
        <f>IF(G42&gt;0,((P42/G42)^(1/3))-1,"-")</f>
        <v>-</v>
      </c>
    </row>
    <row r="43" spans="1:20" ht="18" customHeight="1" hidden="1">
      <c r="A43" s="874"/>
      <c r="B43" s="131" t="s">
        <v>159</v>
      </c>
      <c r="C43" s="2"/>
      <c r="D43" s="876">
        <v>0</v>
      </c>
      <c r="E43" s="877">
        <v>0</v>
      </c>
      <c r="F43" s="148">
        <v>0</v>
      </c>
      <c r="G43" s="878">
        <v>0</v>
      </c>
      <c r="H43" s="879">
        <v>0</v>
      </c>
      <c r="I43" s="880">
        <v>0</v>
      </c>
      <c r="J43" s="148">
        <f>H43+I43</f>
        <v>0</v>
      </c>
      <c r="K43" s="879">
        <v>0</v>
      </c>
      <c r="L43" s="880">
        <v>0</v>
      </c>
      <c r="M43" s="149">
        <f>K43+L43</f>
        <v>0</v>
      </c>
      <c r="N43" s="150">
        <f>+K43*1.06</f>
        <v>0</v>
      </c>
      <c r="O43" s="481">
        <v>0</v>
      </c>
      <c r="P43" s="151">
        <f>N43+O43</f>
        <v>0</v>
      </c>
      <c r="Q43" s="873"/>
      <c r="R43" s="2"/>
      <c r="S43" s="109" t="str">
        <f>IF(D43&gt;0,((G43/D43)^(1/3))-1,"-")</f>
        <v>-</v>
      </c>
      <c r="T43" s="152" t="str">
        <f>IF(G43&gt;0,((P43/G43)^(1/3))-1,"-")</f>
        <v>-</v>
      </c>
    </row>
    <row r="44" spans="1:20" ht="18" customHeight="1" hidden="1">
      <c r="A44" s="874"/>
      <c r="B44" s="881"/>
      <c r="C44" s="2"/>
      <c r="D44" s="882"/>
      <c r="E44" s="883"/>
      <c r="F44" s="884"/>
      <c r="G44" s="862"/>
      <c r="H44" s="863"/>
      <c r="I44" s="864"/>
      <c r="J44" s="864"/>
      <c r="K44" s="863"/>
      <c r="L44" s="864"/>
      <c r="M44" s="133"/>
      <c r="N44" s="885"/>
      <c r="O44" s="479"/>
      <c r="P44" s="815"/>
      <c r="Q44" s="865"/>
      <c r="R44" s="2"/>
      <c r="S44" s="866"/>
      <c r="T44" s="867"/>
    </row>
    <row r="45" spans="1:20" ht="18" customHeight="1" hidden="1">
      <c r="A45" s="153" t="s">
        <v>140</v>
      </c>
      <c r="B45" s="881"/>
      <c r="C45" s="2"/>
      <c r="D45" s="154">
        <f>SUM(D46:D48)</f>
        <v>0</v>
      </c>
      <c r="E45" s="154">
        <f aca="true" t="shared" si="4" ref="E45:P45">SUM(E46:E48)</f>
        <v>0</v>
      </c>
      <c r="F45" s="155">
        <f t="shared" si="4"/>
        <v>0</v>
      </c>
      <c r="G45" s="156">
        <f t="shared" si="4"/>
        <v>0</v>
      </c>
      <c r="H45" s="157">
        <f t="shared" si="4"/>
        <v>0</v>
      </c>
      <c r="I45" s="154">
        <f t="shared" si="4"/>
        <v>0</v>
      </c>
      <c r="J45" s="155">
        <f t="shared" si="4"/>
        <v>0</v>
      </c>
      <c r="K45" s="157">
        <f t="shared" si="4"/>
        <v>0</v>
      </c>
      <c r="L45" s="154">
        <f t="shared" si="4"/>
        <v>0</v>
      </c>
      <c r="M45" s="155">
        <f t="shared" si="4"/>
        <v>0</v>
      </c>
      <c r="N45" s="157">
        <f t="shared" si="4"/>
        <v>0</v>
      </c>
      <c r="O45" s="1002">
        <f t="shared" si="4"/>
        <v>0</v>
      </c>
      <c r="P45" s="158">
        <f t="shared" si="4"/>
        <v>0</v>
      </c>
      <c r="Q45" s="140"/>
      <c r="R45" s="5"/>
      <c r="S45" s="141" t="str">
        <f>IF(D45&gt;0,((G45/D45)^(1/3))-1,"-")</f>
        <v>-</v>
      </c>
      <c r="T45" s="142" t="str">
        <f>IF(G45&gt;0,((P45/G45)^(1/3))-1,"-")</f>
        <v>-</v>
      </c>
    </row>
    <row r="46" spans="1:20" ht="18" customHeight="1" hidden="1">
      <c r="A46" s="874"/>
      <c r="B46" s="131" t="s">
        <v>159</v>
      </c>
      <c r="C46" s="2"/>
      <c r="D46" s="868">
        <v>0</v>
      </c>
      <c r="E46" s="869">
        <v>0</v>
      </c>
      <c r="F46" s="143">
        <v>0</v>
      </c>
      <c r="G46" s="870">
        <v>0</v>
      </c>
      <c r="H46" s="871">
        <v>0</v>
      </c>
      <c r="I46" s="872">
        <v>0</v>
      </c>
      <c r="J46" s="143">
        <f>H46+I46</f>
        <v>0</v>
      </c>
      <c r="K46" s="871">
        <v>0</v>
      </c>
      <c r="L46" s="872">
        <v>0</v>
      </c>
      <c r="M46" s="144">
        <f>K46+L46</f>
        <v>0</v>
      </c>
      <c r="N46" s="83">
        <f>+K46*1.06</f>
        <v>0</v>
      </c>
      <c r="O46" s="480">
        <v>0</v>
      </c>
      <c r="P46" s="145">
        <f>N46+O46</f>
        <v>0</v>
      </c>
      <c r="Q46" s="873"/>
      <c r="R46" s="2"/>
      <c r="S46" s="104" t="str">
        <f>IF(D46&gt;0,((G46/D46)^(1/3))-1,"-")</f>
        <v>-</v>
      </c>
      <c r="T46" s="146" t="str">
        <f>IF(G46&gt;0,((P46/G46)^(1/3))-1,"-")</f>
        <v>-</v>
      </c>
    </row>
    <row r="47" spans="1:20" ht="18" customHeight="1" hidden="1">
      <c r="A47" s="874"/>
      <c r="B47" s="131" t="s">
        <v>159</v>
      </c>
      <c r="C47" s="2"/>
      <c r="D47" s="875">
        <v>0</v>
      </c>
      <c r="E47" s="861">
        <v>0</v>
      </c>
      <c r="F47" s="132">
        <v>0</v>
      </c>
      <c r="G47" s="862">
        <v>0</v>
      </c>
      <c r="H47" s="863">
        <v>0</v>
      </c>
      <c r="I47" s="864">
        <v>0</v>
      </c>
      <c r="J47" s="132">
        <f>H47+I47</f>
        <v>0</v>
      </c>
      <c r="K47" s="863">
        <v>0</v>
      </c>
      <c r="L47" s="864">
        <v>0</v>
      </c>
      <c r="M47" s="133">
        <f>K47+L47</f>
        <v>0</v>
      </c>
      <c r="N47" s="83">
        <f>+K47*1.06</f>
        <v>0</v>
      </c>
      <c r="O47" s="478">
        <v>0</v>
      </c>
      <c r="P47" s="147">
        <f>N47+O47</f>
        <v>0</v>
      </c>
      <c r="Q47" s="873"/>
      <c r="R47" s="2"/>
      <c r="S47" s="84" t="str">
        <f>IF(D47&gt;0,((G47/D47)^(1/3))-1,"-")</f>
        <v>-</v>
      </c>
      <c r="T47" s="85" t="str">
        <f>IF(G47&gt;0,((P47/G47)^(1/3))-1,"-")</f>
        <v>-</v>
      </c>
    </row>
    <row r="48" spans="1:20" ht="18" customHeight="1" hidden="1">
      <c r="A48" s="874"/>
      <c r="B48" s="131" t="s">
        <v>159</v>
      </c>
      <c r="C48" s="2"/>
      <c r="D48" s="876">
        <v>0</v>
      </c>
      <c r="E48" s="877">
        <v>0</v>
      </c>
      <c r="F48" s="148">
        <v>0</v>
      </c>
      <c r="G48" s="878">
        <v>0</v>
      </c>
      <c r="H48" s="879">
        <v>0</v>
      </c>
      <c r="I48" s="880">
        <v>0</v>
      </c>
      <c r="J48" s="148">
        <f>H48+I48</f>
        <v>0</v>
      </c>
      <c r="K48" s="879">
        <v>0</v>
      </c>
      <c r="L48" s="880">
        <v>0</v>
      </c>
      <c r="M48" s="149">
        <f>K48+L48</f>
        <v>0</v>
      </c>
      <c r="N48" s="150">
        <f>+K48*1.06</f>
        <v>0</v>
      </c>
      <c r="O48" s="481">
        <v>0</v>
      </c>
      <c r="P48" s="151">
        <f>N48+O48</f>
        <v>0</v>
      </c>
      <c r="Q48" s="873"/>
      <c r="R48" s="2"/>
      <c r="S48" s="109" t="str">
        <f>IF(D48&gt;0,((G48/D48)^(1/3))-1,"-")</f>
        <v>-</v>
      </c>
      <c r="T48" s="152" t="str">
        <f>IF(G48&gt;0,((P48/G48)^(1/3))-1,"-")</f>
        <v>-</v>
      </c>
    </row>
    <row r="49" spans="1:20" ht="18" customHeight="1" hidden="1">
      <c r="A49" s="874"/>
      <c r="B49" s="131"/>
      <c r="C49" s="2"/>
      <c r="D49" s="860"/>
      <c r="E49" s="861"/>
      <c r="F49" s="132"/>
      <c r="G49" s="862"/>
      <c r="H49" s="863"/>
      <c r="I49" s="864"/>
      <c r="J49" s="815"/>
      <c r="K49" s="863"/>
      <c r="L49" s="864"/>
      <c r="M49" s="133"/>
      <c r="N49" s="811"/>
      <c r="O49" s="478"/>
      <c r="P49" s="812"/>
      <c r="Q49" s="865"/>
      <c r="R49" s="2"/>
      <c r="S49" s="813"/>
      <c r="T49" s="814"/>
    </row>
    <row r="50" spans="1:20" ht="18" customHeight="1" hidden="1">
      <c r="A50" s="874"/>
      <c r="B50" s="131"/>
      <c r="C50" s="2"/>
      <c r="D50" s="860"/>
      <c r="E50" s="861"/>
      <c r="F50" s="132"/>
      <c r="G50" s="862"/>
      <c r="H50" s="863"/>
      <c r="I50" s="864"/>
      <c r="J50" s="815"/>
      <c r="K50" s="863"/>
      <c r="L50" s="864"/>
      <c r="M50" s="133"/>
      <c r="N50" s="811"/>
      <c r="O50" s="478"/>
      <c r="P50" s="812"/>
      <c r="Q50" s="865"/>
      <c r="R50" s="2"/>
      <c r="S50" s="813"/>
      <c r="T50" s="814"/>
    </row>
    <row r="51" spans="1:20" ht="18" customHeight="1" hidden="1">
      <c r="A51" s="874"/>
      <c r="B51" s="131"/>
      <c r="C51" s="2"/>
      <c r="D51" s="860"/>
      <c r="E51" s="861"/>
      <c r="F51" s="132"/>
      <c r="G51" s="862"/>
      <c r="H51" s="863"/>
      <c r="I51" s="864"/>
      <c r="J51" s="815"/>
      <c r="K51" s="863"/>
      <c r="L51" s="864"/>
      <c r="M51" s="133"/>
      <c r="N51" s="811"/>
      <c r="O51" s="478"/>
      <c r="P51" s="812"/>
      <c r="Q51" s="865"/>
      <c r="R51" s="2"/>
      <c r="S51" s="813"/>
      <c r="T51" s="814"/>
    </row>
    <row r="52" spans="1:20" ht="18" customHeight="1" hidden="1">
      <c r="A52" s="874"/>
      <c r="B52" s="131"/>
      <c r="C52" s="2"/>
      <c r="D52" s="860"/>
      <c r="E52" s="861"/>
      <c r="F52" s="132"/>
      <c r="G52" s="862"/>
      <c r="H52" s="863"/>
      <c r="I52" s="864"/>
      <c r="J52" s="815"/>
      <c r="K52" s="863"/>
      <c r="L52" s="864"/>
      <c r="M52" s="133"/>
      <c r="N52" s="811"/>
      <c r="O52" s="478"/>
      <c r="P52" s="812"/>
      <c r="Q52" s="865"/>
      <c r="R52" s="2"/>
      <c r="S52" s="813"/>
      <c r="T52" s="814"/>
    </row>
    <row r="53" spans="1:20" ht="18" customHeight="1" hidden="1">
      <c r="A53" s="874"/>
      <c r="B53" s="131"/>
      <c r="C53" s="2"/>
      <c r="D53" s="860"/>
      <c r="E53" s="861"/>
      <c r="F53" s="132"/>
      <c r="G53" s="862"/>
      <c r="H53" s="863"/>
      <c r="I53" s="864"/>
      <c r="J53" s="815"/>
      <c r="K53" s="863"/>
      <c r="L53" s="864"/>
      <c r="M53" s="133"/>
      <c r="N53" s="811"/>
      <c r="O53" s="478"/>
      <c r="P53" s="812"/>
      <c r="Q53" s="865"/>
      <c r="R53" s="2"/>
      <c r="S53" s="813"/>
      <c r="T53" s="814"/>
    </row>
    <row r="54" spans="1:20" ht="18" customHeight="1" hidden="1">
      <c r="A54" s="874"/>
      <c r="B54" s="131"/>
      <c r="C54" s="2"/>
      <c r="D54" s="860"/>
      <c r="E54" s="861"/>
      <c r="F54" s="132"/>
      <c r="G54" s="862"/>
      <c r="H54" s="863"/>
      <c r="I54" s="864"/>
      <c r="J54" s="815"/>
      <c r="K54" s="863"/>
      <c r="L54" s="864"/>
      <c r="M54" s="133"/>
      <c r="N54" s="811"/>
      <c r="O54" s="478"/>
      <c r="P54" s="812"/>
      <c r="Q54" s="865"/>
      <c r="R54" s="2"/>
      <c r="S54" s="813"/>
      <c r="T54" s="814"/>
    </row>
    <row r="55" spans="1:20" ht="18" customHeight="1" hidden="1">
      <c r="A55" s="874"/>
      <c r="B55" s="131"/>
      <c r="C55" s="2"/>
      <c r="D55" s="860"/>
      <c r="E55" s="861"/>
      <c r="F55" s="132"/>
      <c r="G55" s="862"/>
      <c r="H55" s="863"/>
      <c r="I55" s="864"/>
      <c r="J55" s="815"/>
      <c r="K55" s="863"/>
      <c r="L55" s="864"/>
      <c r="M55" s="133"/>
      <c r="N55" s="811"/>
      <c r="O55" s="478"/>
      <c r="P55" s="812"/>
      <c r="Q55" s="865"/>
      <c r="R55" s="2"/>
      <c r="S55" s="813"/>
      <c r="T55" s="814"/>
    </row>
    <row r="56" spans="1:20" ht="18" customHeight="1" hidden="1">
      <c r="A56" s="874"/>
      <c r="B56" s="131"/>
      <c r="C56" s="2"/>
      <c r="D56" s="860"/>
      <c r="E56" s="861"/>
      <c r="F56" s="132"/>
      <c r="G56" s="862"/>
      <c r="H56" s="863"/>
      <c r="I56" s="864"/>
      <c r="J56" s="815"/>
      <c r="K56" s="863"/>
      <c r="L56" s="864"/>
      <c r="M56" s="133"/>
      <c r="N56" s="811"/>
      <c r="O56" s="478"/>
      <c r="P56" s="812"/>
      <c r="Q56" s="865"/>
      <c r="R56" s="2"/>
      <c r="S56" s="813"/>
      <c r="T56" s="814"/>
    </row>
    <row r="57" spans="1:20" ht="18" customHeight="1" hidden="1">
      <c r="A57" s="874"/>
      <c r="B57" s="131"/>
      <c r="C57" s="2"/>
      <c r="D57" s="860"/>
      <c r="E57" s="861"/>
      <c r="F57" s="132"/>
      <c r="G57" s="862"/>
      <c r="H57" s="863"/>
      <c r="I57" s="864"/>
      <c r="J57" s="815"/>
      <c r="K57" s="863"/>
      <c r="L57" s="864"/>
      <c r="M57" s="133"/>
      <c r="N57" s="811"/>
      <c r="O57" s="478"/>
      <c r="P57" s="812"/>
      <c r="Q57" s="865"/>
      <c r="R57" s="2"/>
      <c r="S57" s="813"/>
      <c r="T57" s="814"/>
    </row>
    <row r="58" spans="1:20" ht="18" customHeight="1" hidden="1">
      <c r="A58" s="874"/>
      <c r="B58" s="131"/>
      <c r="C58" s="2"/>
      <c r="D58" s="860"/>
      <c r="E58" s="861"/>
      <c r="F58" s="132"/>
      <c r="G58" s="862"/>
      <c r="H58" s="863"/>
      <c r="I58" s="864"/>
      <c r="J58" s="815"/>
      <c r="K58" s="863"/>
      <c r="L58" s="864"/>
      <c r="M58" s="133"/>
      <c r="N58" s="811"/>
      <c r="O58" s="478"/>
      <c r="P58" s="812"/>
      <c r="Q58" s="865"/>
      <c r="R58" s="2"/>
      <c r="S58" s="813"/>
      <c r="T58" s="814"/>
    </row>
    <row r="59" spans="1:20" ht="18.75" thickBot="1">
      <c r="A59" s="874"/>
      <c r="B59" s="881"/>
      <c r="C59" s="2"/>
      <c r="D59" s="131"/>
      <c r="E59" s="864"/>
      <c r="F59" s="132"/>
      <c r="G59" s="862"/>
      <c r="H59" s="863"/>
      <c r="I59" s="864"/>
      <c r="J59" s="864"/>
      <c r="K59" s="863"/>
      <c r="L59" s="864"/>
      <c r="M59" s="133"/>
      <c r="N59" s="885"/>
      <c r="O59" s="479"/>
      <c r="P59" s="815"/>
      <c r="Q59" s="865"/>
      <c r="R59" s="2"/>
      <c r="S59" s="866"/>
      <c r="T59" s="867"/>
    </row>
    <row r="60" spans="1:20" ht="30" customHeight="1" thickBot="1">
      <c r="A60" s="159" t="s">
        <v>4</v>
      </c>
      <c r="B60" s="160"/>
      <c r="C60" s="161"/>
      <c r="D60" s="162">
        <f>D38+D40+D45</f>
        <v>10717267</v>
      </c>
      <c r="E60" s="162">
        <f aca="true" t="shared" si="5" ref="E60:J60">E38+E40+E45</f>
        <v>13932091</v>
      </c>
      <c r="F60" s="163">
        <f t="shared" si="5"/>
        <v>16052950</v>
      </c>
      <c r="G60" s="164">
        <f t="shared" si="5"/>
        <v>18414380</v>
      </c>
      <c r="H60" s="165">
        <f t="shared" si="5"/>
        <v>19338538</v>
      </c>
      <c r="I60" s="162">
        <f t="shared" si="5"/>
        <v>12010</v>
      </c>
      <c r="J60" s="163">
        <f t="shared" si="5"/>
        <v>19350548</v>
      </c>
      <c r="K60" s="165">
        <f aca="true" t="shared" si="6" ref="K60:P60">K38+K40+K45</f>
        <v>19883045</v>
      </c>
      <c r="L60" s="162">
        <f t="shared" si="6"/>
        <v>12010</v>
      </c>
      <c r="M60" s="166">
        <f t="shared" si="6"/>
        <v>19895055</v>
      </c>
      <c r="N60" s="167">
        <f t="shared" si="6"/>
        <v>21076028</v>
      </c>
      <c r="O60" s="162">
        <f t="shared" si="6"/>
        <v>-838083</v>
      </c>
      <c r="P60" s="168">
        <f t="shared" si="6"/>
        <v>20237945</v>
      </c>
      <c r="Q60" s="169"/>
      <c r="R60" s="5"/>
      <c r="S60" s="170">
        <f>IF(D60&gt;0,((G60/D60)^(1/3))-1,"-")</f>
        <v>0.1977265689144907</v>
      </c>
      <c r="T60" s="171">
        <f>IF(G60&gt;0,((P60/G60)^(1/3))-1,"-")</f>
        <v>0.03197641058689049</v>
      </c>
    </row>
    <row r="61" spans="10:16" ht="18.75" thickTop="1">
      <c r="J61" s="447">
        <f>19350548-J60</f>
        <v>0</v>
      </c>
      <c r="M61" s="447">
        <f>19895055-M60</f>
        <v>0</v>
      </c>
      <c r="P61" s="447">
        <f>20190661-P60</f>
        <v>-47284</v>
      </c>
    </row>
    <row r="62" spans="1:20" ht="18.75" thickBot="1">
      <c r="A62" s="172" t="s">
        <v>17</v>
      </c>
      <c r="B62" s="111"/>
      <c r="C62" s="111"/>
      <c r="D62" s="111"/>
      <c r="E62" s="111"/>
      <c r="F62" s="111"/>
      <c r="G62" s="173"/>
      <c r="H62" s="111"/>
      <c r="I62" s="111"/>
      <c r="J62" s="111"/>
      <c r="K62" s="111"/>
      <c r="L62" s="111"/>
      <c r="M62" s="111"/>
      <c r="N62" s="111"/>
      <c r="O62" s="111"/>
      <c r="P62" s="173"/>
      <c r="Q62" s="111"/>
      <c r="R62" s="2"/>
      <c r="S62" s="3"/>
      <c r="T62" s="4"/>
    </row>
    <row r="63" spans="1:20" ht="19.5" thickBot="1" thickTop="1">
      <c r="A63" s="174" t="s">
        <v>18</v>
      </c>
      <c r="B63" s="175" t="s">
        <v>19</v>
      </c>
      <c r="C63" s="175"/>
      <c r="D63" s="175"/>
      <c r="E63" s="175"/>
      <c r="F63" s="175"/>
      <c r="G63" s="175"/>
      <c r="H63" s="176" t="s">
        <v>3</v>
      </c>
      <c r="I63" s="177"/>
      <c r="J63" s="178"/>
      <c r="K63" s="179" t="s">
        <v>15</v>
      </c>
      <c r="L63" s="180"/>
      <c r="M63" s="181"/>
      <c r="N63" s="179" t="s">
        <v>71</v>
      </c>
      <c r="O63" s="180"/>
      <c r="P63" s="180"/>
      <c r="Q63" s="182"/>
      <c r="R63" s="2"/>
      <c r="S63" s="3"/>
      <c r="T63" s="4"/>
    </row>
    <row r="64" spans="1:20" ht="18">
      <c r="A64" s="90"/>
      <c r="B64" s="183"/>
      <c r="C64" s="183"/>
      <c r="D64" s="183"/>
      <c r="E64" s="183"/>
      <c r="F64" s="183"/>
      <c r="G64" s="183"/>
      <c r="H64" s="184" t="s">
        <v>20</v>
      </c>
      <c r="I64" s="185" t="s">
        <v>5</v>
      </c>
      <c r="J64" s="186"/>
      <c r="K64" s="184" t="s">
        <v>20</v>
      </c>
      <c r="L64" s="185" t="s">
        <v>5</v>
      </c>
      <c r="M64" s="186"/>
      <c r="N64" s="184" t="s">
        <v>20</v>
      </c>
      <c r="O64" s="185" t="s">
        <v>5</v>
      </c>
      <c r="P64" s="187"/>
      <c r="Q64" s="188"/>
      <c r="R64" s="2"/>
      <c r="S64" s="3"/>
      <c r="T64" s="4"/>
    </row>
    <row r="65" spans="1:20" ht="18">
      <c r="A65" s="90"/>
      <c r="B65" s="183"/>
      <c r="C65" s="183"/>
      <c r="D65" s="183"/>
      <c r="E65" s="183"/>
      <c r="F65" s="183"/>
      <c r="G65" s="183"/>
      <c r="H65" s="184"/>
      <c r="I65" s="185"/>
      <c r="J65" s="186"/>
      <c r="K65" s="184"/>
      <c r="L65" s="185"/>
      <c r="M65" s="186"/>
      <c r="N65" s="184"/>
      <c r="O65" s="185"/>
      <c r="P65" s="187"/>
      <c r="Q65" s="188"/>
      <c r="R65" s="2"/>
      <c r="S65" s="3"/>
      <c r="T65" s="4"/>
    </row>
    <row r="66" spans="1:20" ht="18">
      <c r="A66" s="90"/>
      <c r="B66" s="183"/>
      <c r="C66" s="183"/>
      <c r="D66" s="183"/>
      <c r="E66" s="183"/>
      <c r="F66" s="183"/>
      <c r="G66" s="183"/>
      <c r="H66" s="184"/>
      <c r="I66" s="185"/>
      <c r="J66" s="186"/>
      <c r="K66" s="184"/>
      <c r="L66" s="185"/>
      <c r="M66" s="186"/>
      <c r="N66" s="184"/>
      <c r="O66" s="185"/>
      <c r="P66" s="187"/>
      <c r="Q66" s="188"/>
      <c r="R66" s="2"/>
      <c r="S66" s="3"/>
      <c r="T66" s="4"/>
    </row>
    <row r="67" spans="1:20" ht="19.5" thickBot="1">
      <c r="A67" s="189"/>
      <c r="B67" s="1037">
        <v>-1</v>
      </c>
      <c r="C67" s="1037"/>
      <c r="D67" s="1037"/>
      <c r="E67" s="1037"/>
      <c r="F67" s="1037"/>
      <c r="G67" s="1037"/>
      <c r="H67" s="62">
        <f>+B67-1</f>
        <v>-2</v>
      </c>
      <c r="I67" s="63">
        <f>+H67-1</f>
        <v>-3</v>
      </c>
      <c r="J67" s="190"/>
      <c r="K67" s="64">
        <f>+I67-1</f>
        <v>-4</v>
      </c>
      <c r="L67" s="191">
        <f>+K67-1</f>
        <v>-5</v>
      </c>
      <c r="M67" s="192"/>
      <c r="N67" s="64">
        <f>+L67-1</f>
        <v>-6</v>
      </c>
      <c r="O67" s="65">
        <f>+N67-1</f>
        <v>-7</v>
      </c>
      <c r="P67" s="193"/>
      <c r="Q67" s="194"/>
      <c r="R67" s="2"/>
      <c r="S67" s="3"/>
      <c r="T67" s="4"/>
    </row>
    <row r="68" spans="1:17" ht="18">
      <c r="A68" s="484"/>
      <c r="B68" s="483"/>
      <c r="C68" s="483"/>
      <c r="D68" s="483"/>
      <c r="E68" s="483"/>
      <c r="F68" s="483"/>
      <c r="G68" s="483"/>
      <c r="H68" s="195" t="s">
        <v>6</v>
      </c>
      <c r="I68" s="196" t="s">
        <v>6</v>
      </c>
      <c r="J68" s="197"/>
      <c r="K68" s="195" t="s">
        <v>6</v>
      </c>
      <c r="L68" s="196" t="s">
        <v>6</v>
      </c>
      <c r="M68" s="197"/>
      <c r="N68" s="195" t="s">
        <v>6</v>
      </c>
      <c r="O68" s="196" t="s">
        <v>6</v>
      </c>
      <c r="P68" s="198"/>
      <c r="Q68" s="199"/>
    </row>
    <row r="69" spans="1:17" ht="18">
      <c r="A69" s="486">
        <v>1</v>
      </c>
      <c r="B69" s="483" t="str">
        <f>'Schedule 1 (A) '!A12</f>
        <v>OPTION 1 - Funding of increased internal SA Army deployment.</v>
      </c>
      <c r="C69" s="483"/>
      <c r="D69" s="483"/>
      <c r="E69" s="483"/>
      <c r="F69" s="483"/>
      <c r="G69" s="483"/>
      <c r="H69" s="487">
        <f>'Schedule 1 (A) '!F12</f>
        <v>92830</v>
      </c>
      <c r="I69" s="886">
        <f>'Schedule 1 (A) '!G12</f>
        <v>0</v>
      </c>
      <c r="J69" s="201"/>
      <c r="K69" s="487">
        <f>'Schedule 1 (A) '!I12</f>
        <v>145320</v>
      </c>
      <c r="L69" s="200">
        <f>'Schedule 1 (A) '!J12</f>
        <v>0</v>
      </c>
      <c r="M69" s="201"/>
      <c r="N69" s="487">
        <f>'Schedule 1 (A) '!L12</f>
        <v>206160</v>
      </c>
      <c r="O69" s="200">
        <f>'Schedule 1 (A) '!M12</f>
        <v>0</v>
      </c>
      <c r="P69" s="202"/>
      <c r="Q69" s="485"/>
    </row>
    <row r="70" spans="1:17" ht="18">
      <c r="A70" s="486">
        <v>2</v>
      </c>
      <c r="B70" s="483" t="str">
        <f>'Schedule 1 (A) '!A24</f>
        <v>OPTION 2 - Military Skills Deployment System (MSDS): 3000 members annually</v>
      </c>
      <c r="C70" s="483"/>
      <c r="D70" s="483"/>
      <c r="E70" s="483"/>
      <c r="F70" s="483"/>
      <c r="G70" s="483"/>
      <c r="H70" s="487">
        <f>'Schedule 1 (A) '!F24</f>
        <v>130057</v>
      </c>
      <c r="I70" s="886">
        <f>'Schedule 1 (A) '!G24</f>
        <v>0</v>
      </c>
      <c r="J70" s="201"/>
      <c r="K70" s="487">
        <f>'Schedule 1 (A) '!I24</f>
        <v>290557</v>
      </c>
      <c r="L70" s="200">
        <f>'Schedule 1 (A) '!J24</f>
        <v>0</v>
      </c>
      <c r="M70" s="201"/>
      <c r="N70" s="487">
        <f>'Schedule 1 (A) '!L24</f>
        <v>305157</v>
      </c>
      <c r="O70" s="200">
        <f>'Schedule 1 (A) '!M24</f>
        <v>0</v>
      </c>
      <c r="P70" s="202"/>
      <c r="Q70" s="485"/>
    </row>
    <row r="71" spans="1:17" ht="18">
      <c r="A71" s="486">
        <v>3</v>
      </c>
      <c r="B71" s="483" t="str">
        <f>'Schedule 1 (A) '!A36</f>
        <v>OPTION 3 - Conventional Reserve Force utilisation</v>
      </c>
      <c r="C71" s="483"/>
      <c r="D71" s="483"/>
      <c r="E71" s="483"/>
      <c r="F71" s="483"/>
      <c r="G71" s="483"/>
      <c r="H71" s="487">
        <f>'Schedule 1 (A) '!F36</f>
        <v>66670</v>
      </c>
      <c r="I71" s="886">
        <f>'Schedule 1 (A) '!G36</f>
        <v>0</v>
      </c>
      <c r="J71" s="201"/>
      <c r="K71" s="487">
        <f>'Schedule 1 (A) '!I36</f>
        <v>69120</v>
      </c>
      <c r="L71" s="200">
        <f>'Schedule 1 (A) '!J36</f>
        <v>0</v>
      </c>
      <c r="M71" s="201"/>
      <c r="N71" s="487">
        <f>'Schedule 1 (A) '!L36</f>
        <v>72440</v>
      </c>
      <c r="O71" s="200">
        <f>'Schedule 1 (A) '!M36</f>
        <v>0</v>
      </c>
      <c r="P71" s="202"/>
      <c r="Q71" s="485"/>
    </row>
    <row r="72" spans="1:17" ht="18">
      <c r="A72" s="486">
        <v>4</v>
      </c>
      <c r="B72" s="483" t="str">
        <f>'Schedule 1 (A) '!A48</f>
        <v>OPTION 4 - Development of an ammunition disposal plant</v>
      </c>
      <c r="C72" s="483"/>
      <c r="D72" s="483"/>
      <c r="E72" s="483"/>
      <c r="F72" s="483"/>
      <c r="G72" s="483"/>
      <c r="H72" s="487">
        <f>'Schedule 1 (A) '!F48</f>
        <v>0</v>
      </c>
      <c r="I72" s="886">
        <f>'Schedule 1 (A) '!G48</f>
        <v>0</v>
      </c>
      <c r="J72" s="201"/>
      <c r="K72" s="487">
        <f>'Schedule 1 (A) '!I48</f>
        <v>13179</v>
      </c>
      <c r="L72" s="200">
        <f>'Schedule 1 (A) '!J48</f>
        <v>0</v>
      </c>
      <c r="M72" s="201"/>
      <c r="N72" s="487">
        <f>'Schedule 1 (A) '!L48</f>
        <v>113179</v>
      </c>
      <c r="O72" s="200">
        <f>'Schedule 1 (A) '!M48</f>
        <v>0</v>
      </c>
      <c r="P72" s="202"/>
      <c r="Q72" s="485"/>
    </row>
    <row r="73" spans="1:17" ht="18.75" thickBot="1">
      <c r="A73" s="488"/>
      <c r="B73" s="483"/>
      <c r="C73" s="483"/>
      <c r="D73" s="483"/>
      <c r="E73" s="483"/>
      <c r="F73" s="483"/>
      <c r="G73" s="483"/>
      <c r="H73" s="489"/>
      <c r="I73" s="887"/>
      <c r="J73" s="204"/>
      <c r="K73" s="489"/>
      <c r="L73" s="203"/>
      <c r="M73" s="204"/>
      <c r="N73" s="489"/>
      <c r="O73" s="203"/>
      <c r="P73" s="205"/>
      <c r="Q73" s="490"/>
    </row>
    <row r="74" spans="1:17" ht="21" thickBot="1">
      <c r="A74" s="206" t="s">
        <v>54</v>
      </c>
      <c r="B74" s="207"/>
      <c r="C74" s="207"/>
      <c r="D74" s="207"/>
      <c r="E74" s="207"/>
      <c r="F74" s="207"/>
      <c r="G74" s="207"/>
      <c r="H74" s="208">
        <f aca="true" t="shared" si="7" ref="H74:O74">SUM(H69:H73)</f>
        <v>289557</v>
      </c>
      <c r="I74" s="209">
        <f t="shared" si="7"/>
        <v>0</v>
      </c>
      <c r="J74" s="210"/>
      <c r="K74" s="208">
        <f t="shared" si="7"/>
        <v>518176</v>
      </c>
      <c r="L74" s="209">
        <f t="shared" si="7"/>
        <v>0</v>
      </c>
      <c r="M74" s="210"/>
      <c r="N74" s="208">
        <f t="shared" si="7"/>
        <v>696936</v>
      </c>
      <c r="O74" s="209">
        <f t="shared" si="7"/>
        <v>0</v>
      </c>
      <c r="P74" s="211"/>
      <c r="Q74" s="212"/>
    </row>
    <row r="75" ht="18.75" thickTop="1"/>
  </sheetData>
  <sheetProtection password="CA7F" sheet="1" objects="1" scenarios="1"/>
  <mergeCells count="3">
    <mergeCell ref="D5:F5"/>
    <mergeCell ref="H5:Q5"/>
    <mergeCell ref="B67:G6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74"/>
  <sheetViews>
    <sheetView showZeros="0" zoomScale="75" zoomScaleNormal="75" workbookViewId="0" topLeftCell="A1">
      <selection activeCell="O13" sqref="O13"/>
    </sheetView>
  </sheetViews>
  <sheetFormatPr defaultColWidth="9.140625" defaultRowHeight="12.75"/>
  <cols>
    <col min="1" max="1" width="5.57421875" style="482" customWidth="1"/>
    <col min="2" max="2" width="54.28125" style="447" customWidth="1"/>
    <col min="3" max="3" width="1.7109375" style="447" customWidth="1"/>
    <col min="4" max="6" width="15.7109375" style="447" customWidth="1"/>
    <col min="7" max="7" width="15.7109375" style="461" customWidth="1"/>
    <col min="8" max="16" width="15.7109375" style="447" customWidth="1"/>
    <col min="17" max="17" width="1.7109375" style="447" customWidth="1"/>
    <col min="18" max="18" width="2.7109375" style="447" customWidth="1"/>
    <col min="19" max="19" width="12.7109375" style="448" customWidth="1"/>
    <col min="20" max="20" width="12.7109375" style="449" customWidth="1"/>
    <col min="21" max="16384" width="10.28125" style="447" customWidth="1"/>
  </cols>
  <sheetData>
    <row r="1" spans="1:20" ht="24.75">
      <c r="A1" s="1" t="s">
        <v>172</v>
      </c>
      <c r="B1" s="821"/>
      <c r="C1" s="821"/>
      <c r="D1" s="821"/>
      <c r="E1" s="821"/>
      <c r="F1" s="821"/>
      <c r="G1" s="822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2"/>
      <c r="S1" s="3"/>
      <c r="T1" s="4"/>
    </row>
    <row r="2" spans="1:191" ht="18" customHeight="1">
      <c r="A2" s="823"/>
      <c r="B2" s="5"/>
      <c r="C2" s="5"/>
      <c r="D2" s="824"/>
      <c r="E2" s="824"/>
      <c r="F2" s="5"/>
      <c r="G2" s="825"/>
      <c r="H2" s="5"/>
      <c r="I2" s="5"/>
      <c r="J2" s="5"/>
      <c r="K2" s="5"/>
      <c r="L2" s="5"/>
      <c r="M2" s="5"/>
      <c r="N2" s="824"/>
      <c r="O2" s="824"/>
      <c r="P2" s="824"/>
      <c r="Q2" s="6" t="s">
        <v>166</v>
      </c>
      <c r="R2" s="5"/>
      <c r="S2" s="826"/>
      <c r="T2" s="827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1"/>
      <c r="FB2" s="451"/>
      <c r="FC2" s="451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  <c r="GA2" s="451"/>
      <c r="GB2" s="451"/>
      <c r="GC2" s="451"/>
      <c r="GD2" s="451"/>
      <c r="GE2" s="451"/>
      <c r="GF2" s="451"/>
      <c r="GG2" s="451"/>
      <c r="GH2" s="451"/>
      <c r="GI2" s="451"/>
    </row>
    <row r="3" spans="1:191" ht="21.75" customHeight="1">
      <c r="A3" s="7" t="s">
        <v>64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9"/>
      <c r="R3" s="830"/>
      <c r="S3" s="831"/>
      <c r="T3" s="832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</row>
    <row r="4" spans="1:20" ht="18" customHeight="1" thickBot="1">
      <c r="A4" s="833"/>
      <c r="B4" s="834"/>
      <c r="C4" s="834"/>
      <c r="D4" s="835"/>
      <c r="E4" s="835"/>
      <c r="F4" s="836"/>
      <c r="G4" s="836"/>
      <c r="H4" s="836"/>
      <c r="I4" s="836"/>
      <c r="J4" s="836"/>
      <c r="K4" s="836"/>
      <c r="L4" s="836"/>
      <c r="M4" s="836"/>
      <c r="N4" s="835"/>
      <c r="O4" s="835"/>
      <c r="P4" s="835"/>
      <c r="Q4" s="2"/>
      <c r="R4" s="2"/>
      <c r="S4" s="4"/>
      <c r="T4" s="4"/>
    </row>
    <row r="5" spans="1:20" s="462" customFormat="1" ht="30" customHeight="1" thickBot="1" thickTop="1">
      <c r="A5" s="8"/>
      <c r="B5" s="9"/>
      <c r="C5" s="10"/>
      <c r="D5" s="1032" t="s">
        <v>138</v>
      </c>
      <c r="E5" s="1032"/>
      <c r="F5" s="1033"/>
      <c r="G5" s="11"/>
      <c r="H5" s="1034" t="s">
        <v>7</v>
      </c>
      <c r="I5" s="1035"/>
      <c r="J5" s="1035"/>
      <c r="K5" s="1035"/>
      <c r="L5" s="1035"/>
      <c r="M5" s="1035"/>
      <c r="N5" s="1035"/>
      <c r="O5" s="1035"/>
      <c r="P5" s="1035"/>
      <c r="Q5" s="1036"/>
      <c r="R5" s="12"/>
      <c r="S5" s="13"/>
      <c r="T5" s="14"/>
    </row>
    <row r="6" spans="1:20" s="462" customFormat="1" ht="30" customHeight="1" thickBot="1">
      <c r="A6" s="15"/>
      <c r="B6" s="16"/>
      <c r="C6" s="17"/>
      <c r="D6" s="18" t="s">
        <v>105</v>
      </c>
      <c r="E6" s="19" t="s">
        <v>0</v>
      </c>
      <c r="F6" s="19" t="s">
        <v>1</v>
      </c>
      <c r="G6" s="20" t="s">
        <v>2</v>
      </c>
      <c r="H6" s="21" t="s">
        <v>3</v>
      </c>
      <c r="I6" s="22"/>
      <c r="J6" s="23"/>
      <c r="K6" s="21" t="s">
        <v>15</v>
      </c>
      <c r="L6" s="22"/>
      <c r="M6" s="24"/>
      <c r="N6" s="25" t="s">
        <v>71</v>
      </c>
      <c r="O6" s="26"/>
      <c r="P6" s="27"/>
      <c r="Q6" s="28"/>
      <c r="R6" s="12"/>
      <c r="S6" s="29"/>
      <c r="T6" s="30"/>
    </row>
    <row r="7" spans="1:20" s="462" customFormat="1" ht="19.5" customHeight="1">
      <c r="A7" s="31" t="s">
        <v>14</v>
      </c>
      <c r="B7" s="32"/>
      <c r="C7" s="33"/>
      <c r="D7" s="34" t="s">
        <v>61</v>
      </c>
      <c r="E7" s="34" t="s">
        <v>61</v>
      </c>
      <c r="F7" s="35" t="s">
        <v>82</v>
      </c>
      <c r="G7" s="36" t="s">
        <v>7</v>
      </c>
      <c r="H7" s="37" t="s">
        <v>7</v>
      </c>
      <c r="I7" s="38" t="s">
        <v>8</v>
      </c>
      <c r="J7" s="38" t="s">
        <v>9</v>
      </c>
      <c r="K7" s="37" t="s">
        <v>7</v>
      </c>
      <c r="L7" s="38" t="s">
        <v>8</v>
      </c>
      <c r="M7" s="39" t="s">
        <v>9</v>
      </c>
      <c r="N7" s="37" t="s">
        <v>7</v>
      </c>
      <c r="O7" s="38" t="s">
        <v>8</v>
      </c>
      <c r="P7" s="40" t="s">
        <v>9</v>
      </c>
      <c r="Q7" s="41"/>
      <c r="R7" s="12"/>
      <c r="S7" s="42" t="s">
        <v>10</v>
      </c>
      <c r="T7" s="43" t="s">
        <v>10</v>
      </c>
    </row>
    <row r="8" spans="1:20" s="462" customFormat="1" ht="19.5" customHeight="1">
      <c r="A8" s="44"/>
      <c r="B8" s="45"/>
      <c r="C8" s="33"/>
      <c r="D8" s="34"/>
      <c r="E8" s="34"/>
      <c r="F8" s="46" t="s">
        <v>83</v>
      </c>
      <c r="G8" s="36" t="s">
        <v>13</v>
      </c>
      <c r="H8" s="37" t="s">
        <v>13</v>
      </c>
      <c r="I8" s="38" t="s">
        <v>11</v>
      </c>
      <c r="J8" s="38" t="s">
        <v>12</v>
      </c>
      <c r="K8" s="37" t="s">
        <v>13</v>
      </c>
      <c r="L8" s="38" t="s">
        <v>11</v>
      </c>
      <c r="M8" s="39" t="s">
        <v>12</v>
      </c>
      <c r="N8" s="37" t="s">
        <v>13</v>
      </c>
      <c r="O8" s="38" t="s">
        <v>11</v>
      </c>
      <c r="P8" s="46" t="s">
        <v>12</v>
      </c>
      <c r="Q8" s="47"/>
      <c r="R8" s="12"/>
      <c r="S8" s="29" t="s">
        <v>105</v>
      </c>
      <c r="T8" s="48" t="s">
        <v>2</v>
      </c>
    </row>
    <row r="9" spans="1:20" s="462" customFormat="1" ht="19.5" customHeight="1">
      <c r="A9" s="44"/>
      <c r="B9" s="45"/>
      <c r="C9" s="33"/>
      <c r="D9" s="34"/>
      <c r="E9" s="34"/>
      <c r="F9" s="46" t="s">
        <v>62</v>
      </c>
      <c r="G9" s="36" t="s">
        <v>58</v>
      </c>
      <c r="H9" s="49" t="s">
        <v>58</v>
      </c>
      <c r="I9" s="38" t="s">
        <v>13</v>
      </c>
      <c r="J9" s="38" t="s">
        <v>13</v>
      </c>
      <c r="K9" s="49" t="s">
        <v>58</v>
      </c>
      <c r="L9" s="38" t="s">
        <v>13</v>
      </c>
      <c r="M9" s="39" t="s">
        <v>13</v>
      </c>
      <c r="N9" s="37" t="s">
        <v>136</v>
      </c>
      <c r="O9" s="38" t="s">
        <v>13</v>
      </c>
      <c r="P9" s="46" t="s">
        <v>13</v>
      </c>
      <c r="Q9" s="50"/>
      <c r="R9" s="12"/>
      <c r="S9" s="42" t="s">
        <v>16</v>
      </c>
      <c r="T9" s="43" t="s">
        <v>16</v>
      </c>
    </row>
    <row r="10" spans="1:20" s="462" customFormat="1" ht="19.5" customHeight="1">
      <c r="A10" s="44"/>
      <c r="B10" s="45"/>
      <c r="C10" s="33"/>
      <c r="D10" s="51"/>
      <c r="E10" s="51"/>
      <c r="F10" s="46" t="s">
        <v>157</v>
      </c>
      <c r="G10" s="52"/>
      <c r="H10" s="49"/>
      <c r="I10" s="38"/>
      <c r="J10" s="38"/>
      <c r="K10" s="49"/>
      <c r="L10" s="38"/>
      <c r="M10" s="39"/>
      <c r="N10" s="53" t="s">
        <v>63</v>
      </c>
      <c r="O10" s="38"/>
      <c r="P10" s="46"/>
      <c r="Q10" s="50"/>
      <c r="R10" s="12"/>
      <c r="S10" s="54" t="s">
        <v>2</v>
      </c>
      <c r="T10" s="55" t="s">
        <v>71</v>
      </c>
    </row>
    <row r="11" spans="1:20" s="463" customFormat="1" ht="18" customHeight="1" thickBot="1">
      <c r="A11" s="56"/>
      <c r="B11" s="57">
        <v>-1</v>
      </c>
      <c r="C11" s="58"/>
      <c r="D11" s="59">
        <f>B11-1</f>
        <v>-2</v>
      </c>
      <c r="E11" s="59">
        <f>+D11-1</f>
        <v>-3</v>
      </c>
      <c r="F11" s="60">
        <f aca="true" t="shared" si="0" ref="F11:P11">E11-1</f>
        <v>-4</v>
      </c>
      <c r="G11" s="61">
        <f t="shared" si="0"/>
        <v>-5</v>
      </c>
      <c r="H11" s="62">
        <f t="shared" si="0"/>
        <v>-6</v>
      </c>
      <c r="I11" s="63">
        <f t="shared" si="0"/>
        <v>-7</v>
      </c>
      <c r="J11" s="63">
        <f t="shared" si="0"/>
        <v>-8</v>
      </c>
      <c r="K11" s="64">
        <f t="shared" si="0"/>
        <v>-9</v>
      </c>
      <c r="L11" s="65">
        <f t="shared" si="0"/>
        <v>-10</v>
      </c>
      <c r="M11" s="66">
        <f t="shared" si="0"/>
        <v>-11</v>
      </c>
      <c r="N11" s="64">
        <f t="shared" si="0"/>
        <v>-12</v>
      </c>
      <c r="O11" s="65">
        <f t="shared" si="0"/>
        <v>-13</v>
      </c>
      <c r="P11" s="60">
        <f t="shared" si="0"/>
        <v>-14</v>
      </c>
      <c r="Q11" s="67"/>
      <c r="R11" s="68"/>
      <c r="S11" s="62">
        <f>P11-1</f>
        <v>-15</v>
      </c>
      <c r="T11" s="69">
        <f>S11-1</f>
        <v>-16</v>
      </c>
    </row>
    <row r="12" spans="1:20" ht="18" customHeight="1">
      <c r="A12" s="70"/>
      <c r="B12" s="71"/>
      <c r="C12" s="72"/>
      <c r="D12" s="73" t="s">
        <v>6</v>
      </c>
      <c r="E12" s="73" t="s">
        <v>6</v>
      </c>
      <c r="F12" s="74" t="s">
        <v>6</v>
      </c>
      <c r="G12" s="75" t="s">
        <v>6</v>
      </c>
      <c r="H12" s="76" t="s">
        <v>6</v>
      </c>
      <c r="I12" s="77" t="s">
        <v>6</v>
      </c>
      <c r="J12" s="77" t="s">
        <v>6</v>
      </c>
      <c r="K12" s="76" t="s">
        <v>6</v>
      </c>
      <c r="L12" s="77" t="s">
        <v>6</v>
      </c>
      <c r="M12" s="78" t="s">
        <v>6</v>
      </c>
      <c r="N12" s="76" t="s">
        <v>6</v>
      </c>
      <c r="O12" s="77" t="s">
        <v>6</v>
      </c>
      <c r="P12" s="74" t="s">
        <v>6</v>
      </c>
      <c r="Q12" s="79"/>
      <c r="R12" s="2"/>
      <c r="S12" s="80"/>
      <c r="T12" s="81"/>
    </row>
    <row r="13" spans="1:20" ht="18" customHeight="1">
      <c r="A13" s="837"/>
      <c r="B13" s="838"/>
      <c r="C13" s="839"/>
      <c r="D13" s="71"/>
      <c r="E13" s="71"/>
      <c r="F13" s="839"/>
      <c r="G13" s="840"/>
      <c r="H13" s="841"/>
      <c r="I13" s="842"/>
      <c r="J13" s="842"/>
      <c r="K13" s="841"/>
      <c r="L13" s="842"/>
      <c r="M13" s="82"/>
      <c r="N13" s="83"/>
      <c r="O13" s="843"/>
      <c r="P13" s="72"/>
      <c r="Q13" s="79"/>
      <c r="R13" s="2"/>
      <c r="S13" s="844"/>
      <c r="T13" s="845"/>
    </row>
    <row r="14" spans="1:20" ht="18" customHeight="1">
      <c r="A14" s="846" t="s">
        <v>173</v>
      </c>
      <c r="B14" s="847"/>
      <c r="C14" s="839"/>
      <c r="D14" s="71">
        <v>535107</v>
      </c>
      <c r="E14" s="71">
        <v>463552</v>
      </c>
      <c r="F14" s="464">
        <v>542571</v>
      </c>
      <c r="G14" s="848">
        <v>538377</v>
      </c>
      <c r="H14" s="83">
        <v>556957</v>
      </c>
      <c r="I14" s="465">
        <f>575701-H14+38994</f>
        <v>57738</v>
      </c>
      <c r="J14" s="82">
        <f>H14+I14</f>
        <v>614695</v>
      </c>
      <c r="K14" s="83">
        <v>583712</v>
      </c>
      <c r="L14" s="465">
        <f>580660-K14+58313</f>
        <v>55261</v>
      </c>
      <c r="M14" s="82">
        <f>K14+L14</f>
        <v>638973</v>
      </c>
      <c r="N14" s="83">
        <f>ROUND(+K14*1.06,0)</f>
        <v>618735</v>
      </c>
      <c r="O14" s="466">
        <f>605202-N14+61310</f>
        <v>47777</v>
      </c>
      <c r="P14" s="72">
        <f>N14+O14</f>
        <v>666512</v>
      </c>
      <c r="Q14" s="79"/>
      <c r="R14" s="2"/>
      <c r="S14" s="84">
        <f>IF(D14&gt;0,((G14/D14)^(1/3))-1,"-")</f>
        <v>0.0020328405415486195</v>
      </c>
      <c r="T14" s="85">
        <f>IF(G14&gt;0,((P14/G14)^(1/3))-1,"-")</f>
        <v>0.07375984374084021</v>
      </c>
    </row>
    <row r="15" spans="1:20" ht="18" customHeight="1">
      <c r="A15" s="837"/>
      <c r="B15" s="838"/>
      <c r="C15" s="839"/>
      <c r="D15" s="71"/>
      <c r="E15" s="71"/>
      <c r="F15" s="464"/>
      <c r="G15" s="848"/>
      <c r="H15" s="83"/>
      <c r="I15" s="465"/>
      <c r="J15" s="82"/>
      <c r="K15" s="83"/>
      <c r="L15" s="465"/>
      <c r="M15" s="82"/>
      <c r="N15" s="83"/>
      <c r="O15" s="466"/>
      <c r="P15" s="72"/>
      <c r="Q15" s="79"/>
      <c r="R15" s="2"/>
      <c r="S15" s="86"/>
      <c r="T15" s="87"/>
    </row>
    <row r="16" spans="1:20" ht="18" customHeight="1">
      <c r="A16" s="846" t="s">
        <v>174</v>
      </c>
      <c r="B16" s="847"/>
      <c r="C16" s="839"/>
      <c r="D16" s="71">
        <v>3290091</v>
      </c>
      <c r="E16" s="71">
        <v>3105074</v>
      </c>
      <c r="F16" s="464">
        <v>3483344</v>
      </c>
      <c r="G16" s="848">
        <v>3477335</v>
      </c>
      <c r="H16" s="83">
        <v>3560232</v>
      </c>
      <c r="I16" s="465">
        <f>3006750-H16+211647</f>
        <v>-341835</v>
      </c>
      <c r="J16" s="82">
        <f>H16+I16</f>
        <v>3218397</v>
      </c>
      <c r="K16" s="83">
        <v>3649113</v>
      </c>
      <c r="L16" s="465">
        <f>2944496-K16+307524</f>
        <v>-397093</v>
      </c>
      <c r="M16" s="82">
        <f>K16+L16</f>
        <v>3252020</v>
      </c>
      <c r="N16" s="83">
        <f>ROUND(+K16*1.06,0)</f>
        <v>3868060</v>
      </c>
      <c r="O16" s="466">
        <f>3102947-N16+334403</f>
        <v>-430710</v>
      </c>
      <c r="P16" s="72">
        <f>N16+O16</f>
        <v>3437350</v>
      </c>
      <c r="Q16" s="79"/>
      <c r="R16" s="2"/>
      <c r="S16" s="84">
        <f>IF(D16&gt;0,((G16/D16)^(1/3))-1,"-")</f>
        <v>0.018621582813097115</v>
      </c>
      <c r="T16" s="85">
        <f>IF(G16&gt;0,((P16/G16)^(1/3))-1,"-")</f>
        <v>-0.0038477019296637716</v>
      </c>
    </row>
    <row r="17" spans="1:20" ht="18" customHeight="1">
      <c r="A17" s="837"/>
      <c r="B17" s="838"/>
      <c r="C17" s="839"/>
      <c r="D17" s="71"/>
      <c r="E17" s="71"/>
      <c r="F17" s="464"/>
      <c r="G17" s="848"/>
      <c r="H17" s="83"/>
      <c r="I17" s="465"/>
      <c r="J17" s="82"/>
      <c r="K17" s="83"/>
      <c r="L17" s="465"/>
      <c r="M17" s="82"/>
      <c r="N17" s="83"/>
      <c r="O17" s="466"/>
      <c r="P17" s="72"/>
      <c r="Q17" s="79"/>
      <c r="R17" s="2"/>
      <c r="S17" s="86"/>
      <c r="T17" s="87"/>
    </row>
    <row r="18" spans="1:20" ht="18" customHeight="1">
      <c r="A18" s="846" t="s">
        <v>175</v>
      </c>
      <c r="B18" s="847"/>
      <c r="C18" s="839"/>
      <c r="D18" s="71">
        <v>1962936</v>
      </c>
      <c r="E18" s="71">
        <v>1947211</v>
      </c>
      <c r="F18" s="464">
        <v>1945823</v>
      </c>
      <c r="G18" s="848">
        <v>2018664</v>
      </c>
      <c r="H18" s="83">
        <v>2080721</v>
      </c>
      <c r="I18" s="465">
        <f>2022864-H18+80429</f>
        <v>22572</v>
      </c>
      <c r="J18" s="82">
        <f>H18+I18</f>
        <v>2103293</v>
      </c>
      <c r="K18" s="83">
        <v>2155417</v>
      </c>
      <c r="L18" s="465">
        <f>2046312-K18+119528</f>
        <v>10423</v>
      </c>
      <c r="M18" s="82">
        <f>K18+L18</f>
        <v>2165840</v>
      </c>
      <c r="N18" s="83">
        <f>ROUND(+K18*1.06,0)</f>
        <v>2284742</v>
      </c>
      <c r="O18" s="466">
        <f>2127772-N18+122069</f>
        <v>-34901</v>
      </c>
      <c r="P18" s="72">
        <f>N18+O18</f>
        <v>2249841</v>
      </c>
      <c r="Q18" s="79"/>
      <c r="R18" s="2"/>
      <c r="S18" s="84">
        <f>IF(D18&gt;0,((G18/D18)^(1/3))-1,"-")</f>
        <v>0.00937520610468967</v>
      </c>
      <c r="T18" s="85">
        <f>IF(G18&gt;0,((P18/G18)^(1/3))-1,"-")</f>
        <v>0.03680224665915732</v>
      </c>
    </row>
    <row r="19" spans="1:20" ht="18" customHeight="1">
      <c r="A19" s="837"/>
      <c r="B19" s="838"/>
      <c r="C19" s="839"/>
      <c r="D19" s="71"/>
      <c r="E19" s="71"/>
      <c r="F19" s="464"/>
      <c r="G19" s="848"/>
      <c r="H19" s="83"/>
      <c r="I19" s="465"/>
      <c r="J19" s="82"/>
      <c r="K19" s="83"/>
      <c r="L19" s="465"/>
      <c r="M19" s="82"/>
      <c r="N19" s="83"/>
      <c r="O19" s="466"/>
      <c r="P19" s="72"/>
      <c r="Q19" s="79"/>
      <c r="R19" s="2"/>
      <c r="S19" s="84"/>
      <c r="T19" s="87"/>
    </row>
    <row r="20" spans="1:20" ht="18" customHeight="1">
      <c r="A20" s="846" t="s">
        <v>176</v>
      </c>
      <c r="B20" s="847"/>
      <c r="C20" s="839"/>
      <c r="D20" s="71">
        <v>844986</v>
      </c>
      <c r="E20" s="71">
        <v>881859</v>
      </c>
      <c r="F20" s="464">
        <v>929468</v>
      </c>
      <c r="G20" s="848">
        <v>979668</v>
      </c>
      <c r="H20" s="83">
        <v>1039027</v>
      </c>
      <c r="I20" s="465">
        <f>978189-H20+51908</f>
        <v>-8930</v>
      </c>
      <c r="J20" s="82">
        <f>H20+I20</f>
        <v>1030097</v>
      </c>
      <c r="K20" s="83">
        <v>1097004</v>
      </c>
      <c r="L20" s="465">
        <f>976543-K20+77146</f>
        <v>-43315</v>
      </c>
      <c r="M20" s="82">
        <f>K20+L20</f>
        <v>1053689</v>
      </c>
      <c r="N20" s="83">
        <f>ROUND(+K20*1.06,0)</f>
        <v>1162824</v>
      </c>
      <c r="O20" s="466">
        <f>970726-N20+78786</f>
        <v>-113312</v>
      </c>
      <c r="P20" s="72">
        <f>N20+O20</f>
        <v>1049512</v>
      </c>
      <c r="Q20" s="79"/>
      <c r="R20" s="2"/>
      <c r="S20" s="84">
        <f>IF(D20&gt;0,((G20/D20)^(1/3))-1,"-")</f>
        <v>0.05053325083865978</v>
      </c>
      <c r="T20" s="85">
        <f>IF(G20&gt;0,((P20/G20)^(1/3))-1,"-")</f>
        <v>0.023221119272980983</v>
      </c>
    </row>
    <row r="21" spans="1:20" ht="18" customHeight="1">
      <c r="A21" s="846"/>
      <c r="B21" s="847"/>
      <c r="C21" s="839"/>
      <c r="D21" s="71"/>
      <c r="E21" s="71"/>
      <c r="F21" s="464"/>
      <c r="G21" s="848"/>
      <c r="H21" s="83"/>
      <c r="I21" s="465"/>
      <c r="J21" s="82"/>
      <c r="K21" s="83"/>
      <c r="L21" s="465"/>
      <c r="M21" s="82"/>
      <c r="N21" s="83"/>
      <c r="O21" s="466"/>
      <c r="P21" s="72"/>
      <c r="Q21" s="79"/>
      <c r="R21" s="2"/>
      <c r="S21" s="88"/>
      <c r="T21" s="89"/>
    </row>
    <row r="22" spans="1:20" ht="18" customHeight="1">
      <c r="A22" s="846" t="s">
        <v>177</v>
      </c>
      <c r="B22" s="847"/>
      <c r="C22" s="839"/>
      <c r="D22" s="71">
        <v>928996</v>
      </c>
      <c r="E22" s="71">
        <v>971952</v>
      </c>
      <c r="F22" s="464">
        <v>1095152</v>
      </c>
      <c r="G22" s="848">
        <v>1144939</v>
      </c>
      <c r="H22" s="83">
        <v>1184072</v>
      </c>
      <c r="I22" s="465">
        <f>1125364-H22+62164</f>
        <v>3456</v>
      </c>
      <c r="J22" s="82">
        <f>H22+I22</f>
        <v>1187528</v>
      </c>
      <c r="K22" s="83">
        <v>1237547</v>
      </c>
      <c r="L22" s="465">
        <f>1132514-K22+93692</f>
        <v>-11341</v>
      </c>
      <c r="M22" s="82">
        <f>K22+L22</f>
        <v>1226206</v>
      </c>
      <c r="N22" s="83">
        <f>ROUND(+K22*1.06,0)</f>
        <v>1311800</v>
      </c>
      <c r="O22" s="466">
        <f>1188222-N22+95686</f>
        <v>-27892</v>
      </c>
      <c r="P22" s="72">
        <f>N22+O22</f>
        <v>1283908</v>
      </c>
      <c r="Q22" s="79"/>
      <c r="R22" s="2"/>
      <c r="S22" s="84">
        <f>IF(D22&gt;0,((G22/D22)^(1/3))-1,"-")</f>
        <v>0.0721515266215993</v>
      </c>
      <c r="T22" s="85">
        <f>IF(G22&gt;0,((P22/G22)^(1/3))-1,"-")</f>
        <v>0.03892417473952947</v>
      </c>
    </row>
    <row r="23" spans="1:20" ht="18" customHeight="1">
      <c r="A23" s="846"/>
      <c r="B23" s="847"/>
      <c r="C23" s="839"/>
      <c r="D23" s="71"/>
      <c r="E23" s="71"/>
      <c r="F23" s="71"/>
      <c r="G23" s="848"/>
      <c r="H23" s="83"/>
      <c r="I23" s="465"/>
      <c r="J23" s="82"/>
      <c r="K23" s="83"/>
      <c r="L23" s="465"/>
      <c r="M23" s="82"/>
      <c r="N23" s="83"/>
      <c r="O23" s="466"/>
      <c r="P23" s="72"/>
      <c r="Q23" s="79"/>
      <c r="R23" s="2"/>
      <c r="S23" s="88"/>
      <c r="T23" s="89"/>
    </row>
    <row r="24" spans="1:20" ht="18" customHeight="1">
      <c r="A24" s="846" t="s">
        <v>178</v>
      </c>
      <c r="B24" s="847"/>
      <c r="C24" s="839"/>
      <c r="D24" s="71">
        <v>148228</v>
      </c>
      <c r="E24" s="71">
        <v>127088</v>
      </c>
      <c r="F24" s="464">
        <v>151175</v>
      </c>
      <c r="G24" s="848">
        <v>149184</v>
      </c>
      <c r="H24" s="83">
        <v>150568</v>
      </c>
      <c r="I24" s="465">
        <f>139330-H24+9300</f>
        <v>-1938</v>
      </c>
      <c r="J24" s="82">
        <f>H24+I24</f>
        <v>148630</v>
      </c>
      <c r="K24" s="83">
        <v>161471</v>
      </c>
      <c r="L24" s="465">
        <f>145036-K24+14475</f>
        <v>-1960</v>
      </c>
      <c r="M24" s="82">
        <f>K24+L24</f>
        <v>159511</v>
      </c>
      <c r="N24" s="83">
        <f>ROUND(+K24*1.06,0)</f>
        <v>171159</v>
      </c>
      <c r="O24" s="466">
        <f>153771-N24+15863</f>
        <v>-1525</v>
      </c>
      <c r="P24" s="72">
        <f>N24+O24</f>
        <v>169634</v>
      </c>
      <c r="Q24" s="79"/>
      <c r="R24" s="2"/>
      <c r="S24" s="84">
        <f>IF(D24&gt;0,((G24/D24)^(1/3))-1,"-")</f>
        <v>0.00214523590765614</v>
      </c>
      <c r="T24" s="85">
        <f>IF(G24&gt;0,((P24/G24)^(1/3))-1,"-")</f>
        <v>0.043750953292823525</v>
      </c>
    </row>
    <row r="25" spans="1:20" ht="18" customHeight="1">
      <c r="A25" s="846"/>
      <c r="B25" s="847"/>
      <c r="C25" s="839"/>
      <c r="D25" s="71"/>
      <c r="E25" s="71"/>
      <c r="F25" s="464"/>
      <c r="G25" s="848"/>
      <c r="H25" s="83"/>
      <c r="I25" s="465"/>
      <c r="J25" s="82"/>
      <c r="K25" s="83"/>
      <c r="L25" s="465"/>
      <c r="M25" s="82"/>
      <c r="N25" s="83"/>
      <c r="O25" s="466"/>
      <c r="P25" s="72"/>
      <c r="Q25" s="79"/>
      <c r="R25" s="2"/>
      <c r="S25" s="88"/>
      <c r="T25" s="89"/>
    </row>
    <row r="26" spans="1:20" ht="18" customHeight="1">
      <c r="A26" s="846" t="s">
        <v>179</v>
      </c>
      <c r="B26" s="847"/>
      <c r="C26" s="839"/>
      <c r="D26" s="71">
        <v>1128263</v>
      </c>
      <c r="E26" s="71">
        <v>1551301</v>
      </c>
      <c r="F26" s="464">
        <v>1668823</v>
      </c>
      <c r="G26" s="848">
        <v>1942782</v>
      </c>
      <c r="H26" s="83">
        <v>2012674</v>
      </c>
      <c r="I26" s="465">
        <f>2403028-H26-3-12010+45575-514029</f>
        <v>-90113</v>
      </c>
      <c r="J26" s="82">
        <f>H26+I26</f>
        <v>1922561</v>
      </c>
      <c r="K26" s="83">
        <v>2086799</v>
      </c>
      <c r="L26" s="465">
        <f>2699960-K26-174-12010+115502-807118</f>
        <v>-90639</v>
      </c>
      <c r="M26" s="82">
        <f>K26+L26</f>
        <v>1996160</v>
      </c>
      <c r="N26" s="83">
        <f>ROUND(+K26*1.06,0)</f>
        <v>2212007</v>
      </c>
      <c r="O26" s="466">
        <f>753659-139328-31+120608-850663</f>
        <v>-115755</v>
      </c>
      <c r="P26" s="72">
        <f>N26+O26</f>
        <v>2096252</v>
      </c>
      <c r="Q26" s="79"/>
      <c r="R26" s="2"/>
      <c r="S26" s="84">
        <f>IF(D26&gt;0,((G26/D26)^(1/3))-1,"-")</f>
        <v>0.19859163276829728</v>
      </c>
      <c r="T26" s="85">
        <f>IF(G26&gt;0,((P26/G26)^(1/3))-1,"-")</f>
        <v>0.025667213263713018</v>
      </c>
    </row>
    <row r="27" spans="1:20" ht="18" customHeight="1">
      <c r="A27" s="846"/>
      <c r="B27" s="847"/>
      <c r="C27" s="839"/>
      <c r="D27" s="71"/>
      <c r="E27" s="71"/>
      <c r="F27" s="464"/>
      <c r="G27" s="848"/>
      <c r="H27" s="83"/>
      <c r="I27" s="465"/>
      <c r="J27" s="82"/>
      <c r="K27" s="83"/>
      <c r="L27" s="465"/>
      <c r="M27" s="82"/>
      <c r="N27" s="83"/>
      <c r="O27" s="466"/>
      <c r="P27" s="72"/>
      <c r="Q27" s="79"/>
      <c r="R27" s="2"/>
      <c r="S27" s="88"/>
      <c r="T27" s="89"/>
    </row>
    <row r="28" spans="1:20" ht="18" customHeight="1">
      <c r="A28" s="846" t="s">
        <v>180</v>
      </c>
      <c r="B28" s="847"/>
      <c r="C28" s="839"/>
      <c r="D28" s="71">
        <v>37321</v>
      </c>
      <c r="E28" s="71">
        <v>162770</v>
      </c>
      <c r="F28" s="464">
        <v>406519</v>
      </c>
      <c r="G28" s="848">
        <v>537974</v>
      </c>
      <c r="H28" s="83">
        <v>269773</v>
      </c>
      <c r="I28" s="465">
        <f>266890-H28+14012</f>
        <v>11129</v>
      </c>
      <c r="J28" s="82">
        <f>H28+I28</f>
        <v>280902</v>
      </c>
      <c r="K28" s="83">
        <v>235795</v>
      </c>
      <c r="L28" s="465">
        <f>220476-K28+20938</f>
        <v>5619</v>
      </c>
      <c r="M28" s="82">
        <f>K28+L28</f>
        <v>241414</v>
      </c>
      <c r="N28" s="83">
        <f>ROUND(+K28*1.06,0)</f>
        <v>249943</v>
      </c>
      <c r="O28" s="466">
        <f>230824-N28+21938</f>
        <v>2819</v>
      </c>
      <c r="P28" s="72">
        <f>N28+O28</f>
        <v>252762</v>
      </c>
      <c r="Q28" s="79"/>
      <c r="R28" s="2"/>
      <c r="S28" s="84">
        <f>IF(D28&gt;0,((G28/D28)^(1/3))-1,"-")</f>
        <v>1.433712867618019</v>
      </c>
      <c r="T28" s="85">
        <f>IF(G28&gt;0,((P28/G28)^(1/3))-1,"-")</f>
        <v>-0.2225899237024438</v>
      </c>
    </row>
    <row r="29" spans="1:20" ht="18" customHeight="1">
      <c r="A29" s="846"/>
      <c r="B29" s="847"/>
      <c r="C29" s="839"/>
      <c r="D29" s="71"/>
      <c r="E29" s="71"/>
      <c r="F29" s="464"/>
      <c r="G29" s="848"/>
      <c r="H29" s="83"/>
      <c r="I29" s="465"/>
      <c r="J29" s="82"/>
      <c r="K29" s="83"/>
      <c r="L29" s="465"/>
      <c r="M29" s="82"/>
      <c r="N29" s="83"/>
      <c r="O29" s="466"/>
      <c r="P29" s="72"/>
      <c r="Q29" s="79"/>
      <c r="R29" s="2"/>
      <c r="S29" s="88"/>
      <c r="T29" s="89"/>
    </row>
    <row r="30" spans="1:20" ht="18" customHeight="1">
      <c r="A30" s="846" t="s">
        <v>181</v>
      </c>
      <c r="B30" s="847"/>
      <c r="C30" s="839"/>
      <c r="D30" s="71">
        <f>1841339-D40</f>
        <v>1841339</v>
      </c>
      <c r="E30" s="71">
        <f>4721284-E40+E41</f>
        <v>1939084</v>
      </c>
      <c r="F30" s="464">
        <f>5830075-F40+F41</f>
        <v>1853691</v>
      </c>
      <c r="G30" s="848">
        <f>7625457-G40+G41</f>
        <v>3089969</v>
      </c>
      <c r="H30" s="83">
        <f>8484514-H40+H41</f>
        <v>2052970</v>
      </c>
      <c r="I30" s="465">
        <f>8973414-8484514-140979</f>
        <v>347921</v>
      </c>
      <c r="J30" s="82">
        <f>H30+I30</f>
        <v>2400891</v>
      </c>
      <c r="K30" s="83">
        <f>1482058+K41</f>
        <v>2426058</v>
      </c>
      <c r="L30" s="465">
        <f>9236777-8676187-87545</f>
        <v>473045</v>
      </c>
      <c r="M30" s="82">
        <f>K30+L30</f>
        <v>2899103</v>
      </c>
      <c r="N30" s="83">
        <f>ROUND(+K30*1.06,0)</f>
        <v>2571621</v>
      </c>
      <c r="O30" s="466">
        <f>3245120-N30</f>
        <v>673499</v>
      </c>
      <c r="P30" s="72">
        <f>N30+O30</f>
        <v>3245120</v>
      </c>
      <c r="Q30" s="79"/>
      <c r="R30" s="2"/>
      <c r="S30" s="84">
        <f>IF(D30&gt;0,((G30/D30)^(1/3))-1,"-")</f>
        <v>0.18833837922450147</v>
      </c>
      <c r="T30" s="85">
        <f>IF(G30&gt;0,((P30/G30)^(1/3))-1,"-")</f>
        <v>0.016464493829842608</v>
      </c>
    </row>
    <row r="31" spans="1:20" ht="18" customHeight="1" hidden="1">
      <c r="A31" s="846"/>
      <c r="B31" s="847"/>
      <c r="C31" s="839"/>
      <c r="D31" s="71"/>
      <c r="E31" s="71"/>
      <c r="F31" s="71"/>
      <c r="G31" s="848"/>
      <c r="H31" s="83"/>
      <c r="I31" s="842"/>
      <c r="J31" s="82"/>
      <c r="K31" s="83"/>
      <c r="L31" s="842"/>
      <c r="M31" s="82"/>
      <c r="N31" s="83"/>
      <c r="O31" s="466"/>
      <c r="P31" s="72"/>
      <c r="Q31" s="79"/>
      <c r="R31" s="2"/>
      <c r="S31" s="88"/>
      <c r="T31" s="89"/>
    </row>
    <row r="32" spans="1:20" ht="18" customHeight="1" hidden="1">
      <c r="A32" s="846" t="s">
        <v>182</v>
      </c>
      <c r="B32" s="847"/>
      <c r="C32" s="839"/>
      <c r="D32" s="71">
        <v>0</v>
      </c>
      <c r="E32" s="71">
        <v>0</v>
      </c>
      <c r="F32" s="71">
        <v>0</v>
      </c>
      <c r="G32" s="848">
        <v>0</v>
      </c>
      <c r="H32" s="83">
        <v>0</v>
      </c>
      <c r="I32" s="842">
        <v>0</v>
      </c>
      <c r="J32" s="82">
        <f>H32+I32</f>
        <v>0</v>
      </c>
      <c r="K32" s="83">
        <v>0</v>
      </c>
      <c r="L32" s="842">
        <v>0</v>
      </c>
      <c r="M32" s="82">
        <f>K32+L32</f>
        <v>0</v>
      </c>
      <c r="N32" s="83">
        <f>ROUND(+K32*1.06,0)</f>
        <v>0</v>
      </c>
      <c r="O32" s="466">
        <v>0</v>
      </c>
      <c r="P32" s="72">
        <f>N32+O32</f>
        <v>0</v>
      </c>
      <c r="Q32" s="79"/>
      <c r="R32" s="2"/>
      <c r="S32" s="84" t="str">
        <f>IF(D32&gt;0,((G32/D32)^(1/3))-1,"-")</f>
        <v>-</v>
      </c>
      <c r="T32" s="85" t="str">
        <f>IF(G32&gt;0,((P32/G32)^(1/3))-1,"-")</f>
        <v>-</v>
      </c>
    </row>
    <row r="33" spans="1:20" ht="18" customHeight="1" hidden="1">
      <c r="A33" s="846"/>
      <c r="B33" s="847"/>
      <c r="C33" s="839"/>
      <c r="D33" s="71"/>
      <c r="E33" s="71"/>
      <c r="F33" s="71"/>
      <c r="G33" s="848"/>
      <c r="H33" s="83"/>
      <c r="I33" s="842"/>
      <c r="J33" s="839"/>
      <c r="K33" s="83"/>
      <c r="L33" s="842"/>
      <c r="M33" s="82"/>
      <c r="N33" s="83"/>
      <c r="O33" s="466"/>
      <c r="P33" s="72"/>
      <c r="Q33" s="79"/>
      <c r="R33" s="2"/>
      <c r="S33" s="88"/>
      <c r="T33" s="89"/>
    </row>
    <row r="34" spans="1:20" ht="18" customHeight="1" hidden="1">
      <c r="A34" s="90" t="s">
        <v>168</v>
      </c>
      <c r="B34" s="847"/>
      <c r="C34" s="839"/>
      <c r="D34" s="91">
        <f aca="true" t="shared" si="1" ref="D34:P34">D35+D36</f>
        <v>0</v>
      </c>
      <c r="E34" s="91">
        <f t="shared" si="1"/>
        <v>0</v>
      </c>
      <c r="F34" s="91">
        <f t="shared" si="1"/>
        <v>0</v>
      </c>
      <c r="G34" s="92">
        <f t="shared" si="1"/>
        <v>0</v>
      </c>
      <c r="H34" s="93">
        <f t="shared" si="1"/>
        <v>0</v>
      </c>
      <c r="I34" s="91">
        <f t="shared" si="1"/>
        <v>0</v>
      </c>
      <c r="J34" s="94">
        <f t="shared" si="1"/>
        <v>0</v>
      </c>
      <c r="K34" s="95">
        <f t="shared" si="1"/>
        <v>0</v>
      </c>
      <c r="L34" s="91">
        <f t="shared" si="1"/>
        <v>0</v>
      </c>
      <c r="M34" s="96">
        <f t="shared" si="1"/>
        <v>0</v>
      </c>
      <c r="N34" s="97">
        <f t="shared" si="1"/>
        <v>0</v>
      </c>
      <c r="O34" s="999">
        <f t="shared" si="1"/>
        <v>0</v>
      </c>
      <c r="P34" s="98">
        <f t="shared" si="1"/>
        <v>0</v>
      </c>
      <c r="Q34" s="79"/>
      <c r="R34" s="2"/>
      <c r="S34" s="99" t="str">
        <f>IF(D34&gt;0,((G34/D34)^(1/3))-1,"-")</f>
        <v>-</v>
      </c>
      <c r="T34" s="100" t="str">
        <f>IF(G34&gt;0,((P34/G34)^(1/3))-1,"-")</f>
        <v>-</v>
      </c>
    </row>
    <row r="35" spans="1:20" ht="18" customHeight="1" hidden="1">
      <c r="A35" s="846"/>
      <c r="B35" s="849" t="s">
        <v>185</v>
      </c>
      <c r="C35" s="839"/>
      <c r="D35" s="850">
        <v>0</v>
      </c>
      <c r="E35" s="850">
        <v>0</v>
      </c>
      <c r="F35" s="467">
        <v>0</v>
      </c>
      <c r="G35" s="851">
        <v>0</v>
      </c>
      <c r="H35" s="852">
        <v>0</v>
      </c>
      <c r="I35" s="468">
        <v>0</v>
      </c>
      <c r="J35" s="101">
        <f>H35+I35</f>
        <v>0</v>
      </c>
      <c r="K35" s="852">
        <v>0</v>
      </c>
      <c r="L35" s="468">
        <v>0</v>
      </c>
      <c r="M35" s="101">
        <f>K35+L35</f>
        <v>0</v>
      </c>
      <c r="N35" s="102">
        <f>ROUND(+K35*1.06,0)</f>
        <v>0</v>
      </c>
      <c r="O35" s="469">
        <v>0</v>
      </c>
      <c r="P35" s="103">
        <f>N35+O35</f>
        <v>0</v>
      </c>
      <c r="Q35" s="79"/>
      <c r="R35" s="2"/>
      <c r="S35" s="104" t="str">
        <f>IF(D35&gt;0,((G35/D35)^(1/3))-1,"-")</f>
        <v>-</v>
      </c>
      <c r="T35" s="105" t="str">
        <f>IF(G35&gt;0,((P35/G35)^(1/3))-1,"-")</f>
        <v>-</v>
      </c>
    </row>
    <row r="36" spans="1:20" ht="18" customHeight="1" hidden="1">
      <c r="A36" s="846"/>
      <c r="B36" s="849" t="s">
        <v>185</v>
      </c>
      <c r="C36" s="839"/>
      <c r="D36" s="853">
        <v>0</v>
      </c>
      <c r="E36" s="853">
        <v>0</v>
      </c>
      <c r="F36" s="470">
        <v>0</v>
      </c>
      <c r="G36" s="854">
        <v>0</v>
      </c>
      <c r="H36" s="855">
        <v>0</v>
      </c>
      <c r="I36" s="471">
        <v>0</v>
      </c>
      <c r="J36" s="106">
        <f>H36+I36</f>
        <v>0</v>
      </c>
      <c r="K36" s="855">
        <v>0</v>
      </c>
      <c r="L36" s="471">
        <v>0</v>
      </c>
      <c r="M36" s="106">
        <f>K36+L36</f>
        <v>0</v>
      </c>
      <c r="N36" s="107">
        <f>ROUND(+K36*1.06,0)</f>
        <v>0</v>
      </c>
      <c r="O36" s="472">
        <v>0</v>
      </c>
      <c r="P36" s="108">
        <f>N36+O36</f>
        <v>0</v>
      </c>
      <c r="Q36" s="79"/>
      <c r="R36" s="2"/>
      <c r="S36" s="109" t="str">
        <f>IF(D36&gt;0,((G36/D36)^(1/3))-1,"-")</f>
        <v>-</v>
      </c>
      <c r="T36" s="110" t="str">
        <f>IF(G36&gt;0,((P36/G36)^(1/3))-1,"-")</f>
        <v>-</v>
      </c>
    </row>
    <row r="37" spans="1:20" s="473" customFormat="1" ht="18" customHeight="1" thickBot="1">
      <c r="A37" s="90"/>
      <c r="B37" s="111"/>
      <c r="C37" s="856"/>
      <c r="D37" s="112"/>
      <c r="E37" s="112"/>
      <c r="F37" s="113"/>
      <c r="G37" s="114"/>
      <c r="H37" s="115"/>
      <c r="I37" s="116"/>
      <c r="J37" s="116"/>
      <c r="K37" s="115"/>
      <c r="L37" s="116"/>
      <c r="M37" s="117"/>
      <c r="N37" s="115"/>
      <c r="O37" s="475"/>
      <c r="P37" s="113"/>
      <c r="Q37" s="118"/>
      <c r="R37" s="119"/>
      <c r="S37" s="857"/>
      <c r="T37" s="858"/>
    </row>
    <row r="38" spans="1:29" ht="30" customHeight="1">
      <c r="A38" s="120" t="s">
        <v>98</v>
      </c>
      <c r="B38" s="121"/>
      <c r="C38" s="122"/>
      <c r="D38" s="123">
        <f aca="true" t="shared" si="2" ref="D38:N38">SUM(D14:D32)+D34</f>
        <v>10717267</v>
      </c>
      <c r="E38" s="123">
        <f t="shared" si="2"/>
        <v>11149891</v>
      </c>
      <c r="F38" s="124">
        <f t="shared" si="2"/>
        <v>12076566</v>
      </c>
      <c r="G38" s="125">
        <f t="shared" si="2"/>
        <v>13878892</v>
      </c>
      <c r="H38" s="126">
        <f t="shared" si="2"/>
        <v>12906994</v>
      </c>
      <c r="I38" s="123">
        <f t="shared" si="2"/>
        <v>0</v>
      </c>
      <c r="J38" s="124">
        <f t="shared" si="2"/>
        <v>12906994</v>
      </c>
      <c r="K38" s="126">
        <f t="shared" si="2"/>
        <v>13632916</v>
      </c>
      <c r="L38" s="123">
        <f t="shared" si="2"/>
        <v>0</v>
      </c>
      <c r="M38" s="124">
        <f t="shared" si="2"/>
        <v>13632916</v>
      </c>
      <c r="N38" s="126">
        <f t="shared" si="2"/>
        <v>14450891</v>
      </c>
      <c r="O38" s="1000">
        <f>SUM(O14:O32)</f>
        <v>0</v>
      </c>
      <c r="P38" s="127">
        <f>SUM(P14:P32)</f>
        <v>14450891</v>
      </c>
      <c r="Q38" s="128"/>
      <c r="R38" s="5"/>
      <c r="S38" s="129">
        <f>IF(D38&gt;0,((G38/D38)^(1/3))-1,"-")</f>
        <v>0.08999268139061312</v>
      </c>
      <c r="T38" s="130">
        <f>IF(G38&gt;0,((P38/G38)^(1/3))-1,"-")</f>
        <v>0.013553341241227201</v>
      </c>
      <c r="U38" s="451"/>
      <c r="V38" s="451"/>
      <c r="W38" s="451"/>
      <c r="X38" s="451"/>
      <c r="Y38" s="451"/>
      <c r="Z38" s="451"/>
      <c r="AA38" s="451"/>
      <c r="AB38" s="451"/>
      <c r="AC38" s="451"/>
    </row>
    <row r="39" spans="1:20" ht="18" customHeight="1">
      <c r="A39" s="859"/>
      <c r="B39" s="131"/>
      <c r="C39" s="836"/>
      <c r="D39" s="860"/>
      <c r="E39" s="861"/>
      <c r="F39" s="132"/>
      <c r="G39" s="862"/>
      <c r="H39" s="863"/>
      <c r="I39" s="864"/>
      <c r="J39" s="864"/>
      <c r="K39" s="863"/>
      <c r="L39" s="864"/>
      <c r="M39" s="133"/>
      <c r="N39" s="811"/>
      <c r="O39" s="478"/>
      <c r="P39" s="812"/>
      <c r="Q39" s="865"/>
      <c r="R39" s="836"/>
      <c r="S39" s="866"/>
      <c r="T39" s="867"/>
    </row>
    <row r="40" spans="1:20" ht="18" customHeight="1">
      <c r="A40" s="1007" t="s">
        <v>221</v>
      </c>
      <c r="B40" s="1008"/>
      <c r="C40" s="2"/>
      <c r="D40" s="135">
        <f aca="true" t="shared" si="3" ref="D40:P40">SUM(D41:D43)</f>
        <v>0</v>
      </c>
      <c r="E40" s="135">
        <f t="shared" si="3"/>
        <v>2899200</v>
      </c>
      <c r="F40" s="136">
        <f t="shared" si="3"/>
        <v>4223384</v>
      </c>
      <c r="G40" s="137">
        <f t="shared" si="3"/>
        <v>5078488</v>
      </c>
      <c r="H40" s="138">
        <f t="shared" si="3"/>
        <v>7198544</v>
      </c>
      <c r="I40" s="135">
        <f t="shared" si="3"/>
        <v>0</v>
      </c>
      <c r="J40" s="136">
        <f t="shared" si="3"/>
        <v>7198544</v>
      </c>
      <c r="K40" s="138">
        <f t="shared" si="3"/>
        <v>7194129</v>
      </c>
      <c r="L40" s="135">
        <f t="shared" si="3"/>
        <v>0</v>
      </c>
      <c r="M40" s="136">
        <f t="shared" si="3"/>
        <v>7194129</v>
      </c>
      <c r="N40" s="138">
        <f t="shared" si="3"/>
        <v>7704323</v>
      </c>
      <c r="O40" s="1001">
        <f t="shared" si="3"/>
        <v>0</v>
      </c>
      <c r="P40" s="139">
        <f t="shared" si="3"/>
        <v>7704323</v>
      </c>
      <c r="Q40" s="140"/>
      <c r="R40" s="5"/>
      <c r="S40" s="141" t="str">
        <f>IF(D40&gt;0,((G40/D40)^(1/3))-1,"-")</f>
        <v>-</v>
      </c>
      <c r="T40" s="142">
        <f>IF(G40&gt;0,((P40/G40)^(1/3))-1,"-")</f>
        <v>0.14903524565480541</v>
      </c>
    </row>
    <row r="41" spans="1:20" ht="18" customHeight="1">
      <c r="A41" s="1009" t="s">
        <v>222</v>
      </c>
      <c r="B41" s="1010"/>
      <c r="C41" s="2"/>
      <c r="D41" s="868">
        <v>0</v>
      </c>
      <c r="E41" s="869">
        <v>117000</v>
      </c>
      <c r="F41" s="143">
        <v>247000</v>
      </c>
      <c r="G41" s="870">
        <v>543000</v>
      </c>
      <c r="H41" s="871">
        <v>767000</v>
      </c>
      <c r="I41" s="872">
        <v>0</v>
      </c>
      <c r="J41" s="143">
        <f>H41+I41</f>
        <v>767000</v>
      </c>
      <c r="K41" s="871">
        <v>944000</v>
      </c>
      <c r="L41" s="872">
        <v>0</v>
      </c>
      <c r="M41" s="144">
        <f>K41+L41</f>
        <v>944000</v>
      </c>
      <c r="N41" s="83">
        <v>1140000</v>
      </c>
      <c r="O41" s="480">
        <v>0</v>
      </c>
      <c r="P41" s="145">
        <f>N41+O41</f>
        <v>1140000</v>
      </c>
      <c r="Q41" s="873"/>
      <c r="R41" s="2"/>
      <c r="S41" s="104" t="str">
        <f>IF(D41&gt;0,((G41/D41)^(1/3))-1,"-")</f>
        <v>-</v>
      </c>
      <c r="T41" s="146">
        <f>IF(G41&gt;0,((P41/G41)^(1/3))-1,"-")</f>
        <v>0.2804668531850425</v>
      </c>
    </row>
    <row r="42" spans="1:20" ht="18" customHeight="1">
      <c r="A42" s="1009" t="s">
        <v>223</v>
      </c>
      <c r="B42" s="1010"/>
      <c r="C42" s="2"/>
      <c r="D42" s="876">
        <v>0</v>
      </c>
      <c r="E42" s="877">
        <v>2782200</v>
      </c>
      <c r="F42" s="148">
        <v>3976384</v>
      </c>
      <c r="G42" s="878">
        <v>4535488</v>
      </c>
      <c r="H42" s="879">
        <v>6431544</v>
      </c>
      <c r="I42" s="880">
        <v>0</v>
      </c>
      <c r="J42" s="148">
        <f>H42+I42</f>
        <v>6431544</v>
      </c>
      <c r="K42" s="879">
        <v>6250129</v>
      </c>
      <c r="L42" s="880">
        <v>0</v>
      </c>
      <c r="M42" s="149">
        <f>K42+L42</f>
        <v>6250129</v>
      </c>
      <c r="N42" s="855">
        <v>6564323</v>
      </c>
      <c r="O42" s="481">
        <v>0</v>
      </c>
      <c r="P42" s="151">
        <f>N42+O42</f>
        <v>6564323</v>
      </c>
      <c r="Q42" s="873"/>
      <c r="R42" s="2"/>
      <c r="S42" s="84" t="str">
        <f>IF(D42&gt;0,((G42/D42)^(1/3))-1,"-")</f>
        <v>-</v>
      </c>
      <c r="T42" s="85">
        <f>IF(G42&gt;0,((P42/G42)^(1/3))-1,"-")</f>
        <v>0.13115461945196527</v>
      </c>
    </row>
    <row r="43" spans="1:20" ht="18" customHeight="1" hidden="1">
      <c r="A43" s="874"/>
      <c r="B43" s="131"/>
      <c r="C43" s="2"/>
      <c r="D43" s="1016"/>
      <c r="E43" s="869"/>
      <c r="F43" s="143"/>
      <c r="G43" s="870"/>
      <c r="H43" s="871"/>
      <c r="I43" s="872"/>
      <c r="J43" s="143"/>
      <c r="K43" s="871"/>
      <c r="L43" s="872"/>
      <c r="M43" s="144"/>
      <c r="N43" s="1015"/>
      <c r="O43" s="480"/>
      <c r="P43" s="145"/>
      <c r="Q43" s="873"/>
      <c r="R43" s="2"/>
      <c r="S43" s="109" t="str">
        <f>IF(D43&gt;0,((G43/D43)^(1/3))-1,"-")</f>
        <v>-</v>
      </c>
      <c r="T43" s="152" t="str">
        <f>IF(G43&gt;0,((P43/G43)^(1/3))-1,"-")</f>
        <v>-</v>
      </c>
    </row>
    <row r="44" spans="1:20" ht="18" customHeight="1" hidden="1">
      <c r="A44" s="874"/>
      <c r="B44" s="881"/>
      <c r="C44" s="2"/>
      <c r="D44" s="882"/>
      <c r="E44" s="883"/>
      <c r="F44" s="884"/>
      <c r="G44" s="862"/>
      <c r="H44" s="863"/>
      <c r="I44" s="864"/>
      <c r="J44" s="864"/>
      <c r="K44" s="863"/>
      <c r="L44" s="864"/>
      <c r="M44" s="133"/>
      <c r="N44" s="885"/>
      <c r="O44" s="479"/>
      <c r="P44" s="815"/>
      <c r="Q44" s="865"/>
      <c r="R44" s="2"/>
      <c r="S44" s="866"/>
      <c r="T44" s="867"/>
    </row>
    <row r="45" spans="1:20" ht="18" customHeight="1" hidden="1">
      <c r="A45" s="153"/>
      <c r="B45" s="881"/>
      <c r="C45" s="2"/>
      <c r="D45" s="154"/>
      <c r="E45" s="154"/>
      <c r="F45" s="1011"/>
      <c r="G45" s="1012"/>
      <c r="H45" s="1013"/>
      <c r="I45" s="154"/>
      <c r="J45" s="1011"/>
      <c r="K45" s="1013"/>
      <c r="L45" s="154"/>
      <c r="M45" s="1011"/>
      <c r="N45" s="1013"/>
      <c r="O45" s="1002"/>
      <c r="P45" s="1014"/>
      <c r="Q45" s="140"/>
      <c r="R45" s="5"/>
      <c r="S45" s="141" t="str">
        <f>IF(D45&gt;0,((G45/D45)^(1/3))-1,"-")</f>
        <v>-</v>
      </c>
      <c r="T45" s="142" t="str">
        <f>IF(G45&gt;0,((P45/G45)^(1/3))-1,"-")</f>
        <v>-</v>
      </c>
    </row>
    <row r="46" spans="1:20" ht="18" customHeight="1" hidden="1">
      <c r="A46" s="874"/>
      <c r="B46" s="131"/>
      <c r="C46" s="2"/>
      <c r="D46" s="860"/>
      <c r="E46" s="861"/>
      <c r="F46" s="132"/>
      <c r="G46" s="862"/>
      <c r="H46" s="863"/>
      <c r="I46" s="864"/>
      <c r="J46" s="132"/>
      <c r="K46" s="863"/>
      <c r="L46" s="864"/>
      <c r="M46" s="133"/>
      <c r="N46" s="83"/>
      <c r="O46" s="478"/>
      <c r="P46" s="147"/>
      <c r="Q46" s="873"/>
      <c r="R46" s="2"/>
      <c r="S46" s="104" t="str">
        <f>IF(D46&gt;0,((G46/D46)^(1/3))-1,"-")</f>
        <v>-</v>
      </c>
      <c r="T46" s="146" t="str">
        <f>IF(G46&gt;0,((P46/G46)^(1/3))-1,"-")</f>
        <v>-</v>
      </c>
    </row>
    <row r="47" spans="1:20" ht="18" customHeight="1" hidden="1">
      <c r="A47" s="874"/>
      <c r="B47" s="131"/>
      <c r="C47" s="2"/>
      <c r="D47" s="860"/>
      <c r="E47" s="861"/>
      <c r="F47" s="132"/>
      <c r="G47" s="862"/>
      <c r="H47" s="863"/>
      <c r="I47" s="864"/>
      <c r="J47" s="132"/>
      <c r="K47" s="863"/>
      <c r="L47" s="864"/>
      <c r="M47" s="133"/>
      <c r="N47" s="83"/>
      <c r="O47" s="478"/>
      <c r="P47" s="147"/>
      <c r="Q47" s="873"/>
      <c r="R47" s="2"/>
      <c r="S47" s="84" t="str">
        <f>IF(D47&gt;0,((G47/D47)^(1/3))-1,"-")</f>
        <v>-</v>
      </c>
      <c r="T47" s="85" t="str">
        <f>IF(G47&gt;0,((P47/G47)^(1/3))-1,"-")</f>
        <v>-</v>
      </c>
    </row>
    <row r="48" spans="1:20" ht="18" customHeight="1" hidden="1">
      <c r="A48" s="874"/>
      <c r="B48" s="131"/>
      <c r="C48" s="2"/>
      <c r="D48" s="860"/>
      <c r="E48" s="861"/>
      <c r="F48" s="132"/>
      <c r="G48" s="862"/>
      <c r="H48" s="863"/>
      <c r="I48" s="864"/>
      <c r="J48" s="132"/>
      <c r="K48" s="863"/>
      <c r="L48" s="864"/>
      <c r="M48" s="133"/>
      <c r="N48" s="811"/>
      <c r="O48" s="478"/>
      <c r="P48" s="147"/>
      <c r="Q48" s="873"/>
      <c r="R48" s="2"/>
      <c r="S48" s="109" t="str">
        <f>IF(D48&gt;0,((G48/D48)^(1/3))-1,"-")</f>
        <v>-</v>
      </c>
      <c r="T48" s="152" t="str">
        <f>IF(G48&gt;0,((P48/G48)^(1/3))-1,"-")</f>
        <v>-</v>
      </c>
    </row>
    <row r="49" spans="1:20" ht="18" customHeight="1" hidden="1">
      <c r="A49" s="874"/>
      <c r="B49" s="131"/>
      <c r="C49" s="2"/>
      <c r="D49" s="860"/>
      <c r="E49" s="861"/>
      <c r="F49" s="132"/>
      <c r="G49" s="862"/>
      <c r="H49" s="863"/>
      <c r="I49" s="864"/>
      <c r="J49" s="815"/>
      <c r="K49" s="863"/>
      <c r="L49" s="864"/>
      <c r="M49" s="133"/>
      <c r="N49" s="811"/>
      <c r="O49" s="478"/>
      <c r="P49" s="812"/>
      <c r="Q49" s="865"/>
      <c r="R49" s="2"/>
      <c r="S49" s="813"/>
      <c r="T49" s="814"/>
    </row>
    <row r="50" spans="1:20" ht="18" customHeight="1" hidden="1">
      <c r="A50" s="874"/>
      <c r="B50" s="131"/>
      <c r="C50" s="2"/>
      <c r="D50" s="860"/>
      <c r="E50" s="861"/>
      <c r="F50" s="132"/>
      <c r="G50" s="862"/>
      <c r="H50" s="863"/>
      <c r="I50" s="864"/>
      <c r="J50" s="815"/>
      <c r="K50" s="863"/>
      <c r="L50" s="864"/>
      <c r="M50" s="133"/>
      <c r="N50" s="811"/>
      <c r="O50" s="478"/>
      <c r="P50" s="812"/>
      <c r="Q50" s="865"/>
      <c r="R50" s="2"/>
      <c r="S50" s="813"/>
      <c r="T50" s="814"/>
    </row>
    <row r="51" spans="1:20" ht="18" customHeight="1" hidden="1">
      <c r="A51" s="874"/>
      <c r="B51" s="131"/>
      <c r="C51" s="2"/>
      <c r="D51" s="860"/>
      <c r="E51" s="861"/>
      <c r="F51" s="132"/>
      <c r="G51" s="862"/>
      <c r="H51" s="863"/>
      <c r="I51" s="864"/>
      <c r="J51" s="815"/>
      <c r="K51" s="863"/>
      <c r="L51" s="864"/>
      <c r="M51" s="133"/>
      <c r="N51" s="811"/>
      <c r="O51" s="478"/>
      <c r="P51" s="812"/>
      <c r="Q51" s="865"/>
      <c r="R51" s="2"/>
      <c r="S51" s="813"/>
      <c r="T51" s="814"/>
    </row>
    <row r="52" spans="1:20" ht="18" customHeight="1" hidden="1">
      <c r="A52" s="874"/>
      <c r="B52" s="131"/>
      <c r="C52" s="2"/>
      <c r="D52" s="860"/>
      <c r="E52" s="861"/>
      <c r="F52" s="132"/>
      <c r="G52" s="862"/>
      <c r="H52" s="863"/>
      <c r="I52" s="864"/>
      <c r="J52" s="815"/>
      <c r="K52" s="863"/>
      <c r="L52" s="864"/>
      <c r="M52" s="133"/>
      <c r="N52" s="811"/>
      <c r="O52" s="478"/>
      <c r="P52" s="812"/>
      <c r="Q52" s="865"/>
      <c r="R52" s="2"/>
      <c r="S52" s="813"/>
      <c r="T52" s="814"/>
    </row>
    <row r="53" spans="1:20" ht="18" customHeight="1" hidden="1">
      <c r="A53" s="874"/>
      <c r="B53" s="131"/>
      <c r="C53" s="2"/>
      <c r="D53" s="860"/>
      <c r="E53" s="861"/>
      <c r="F53" s="132"/>
      <c r="G53" s="862"/>
      <c r="H53" s="863"/>
      <c r="I53" s="864"/>
      <c r="J53" s="815"/>
      <c r="K53" s="863"/>
      <c r="L53" s="864"/>
      <c r="M53" s="133"/>
      <c r="N53" s="811"/>
      <c r="O53" s="478"/>
      <c r="P53" s="812"/>
      <c r="Q53" s="865"/>
      <c r="R53" s="2"/>
      <c r="S53" s="813"/>
      <c r="T53" s="814"/>
    </row>
    <row r="54" spans="1:20" ht="18" customHeight="1" hidden="1">
      <c r="A54" s="874"/>
      <c r="B54" s="131"/>
      <c r="C54" s="2"/>
      <c r="D54" s="860"/>
      <c r="E54" s="861"/>
      <c r="F54" s="132"/>
      <c r="G54" s="862"/>
      <c r="H54" s="863"/>
      <c r="I54" s="864"/>
      <c r="J54" s="815"/>
      <c r="K54" s="863"/>
      <c r="L54" s="864"/>
      <c r="M54" s="133"/>
      <c r="N54" s="811"/>
      <c r="O54" s="478"/>
      <c r="P54" s="812"/>
      <c r="Q54" s="865"/>
      <c r="R54" s="2"/>
      <c r="S54" s="813"/>
      <c r="T54" s="814"/>
    </row>
    <row r="55" spans="1:20" ht="18" customHeight="1" hidden="1">
      <c r="A55" s="874"/>
      <c r="B55" s="131"/>
      <c r="C55" s="2"/>
      <c r="D55" s="860"/>
      <c r="E55" s="861"/>
      <c r="F55" s="132"/>
      <c r="G55" s="862"/>
      <c r="H55" s="863"/>
      <c r="I55" s="864"/>
      <c r="J55" s="815"/>
      <c r="K55" s="863"/>
      <c r="L55" s="864"/>
      <c r="M55" s="133"/>
      <c r="N55" s="811"/>
      <c r="O55" s="478"/>
      <c r="P55" s="812"/>
      <c r="Q55" s="865"/>
      <c r="R55" s="2"/>
      <c r="S55" s="813"/>
      <c r="T55" s="814"/>
    </row>
    <row r="56" spans="1:20" ht="18" customHeight="1" hidden="1">
      <c r="A56" s="874"/>
      <c r="B56" s="131"/>
      <c r="C56" s="2"/>
      <c r="D56" s="860"/>
      <c r="E56" s="861"/>
      <c r="F56" s="132"/>
      <c r="G56" s="862"/>
      <c r="H56" s="863"/>
      <c r="I56" s="864"/>
      <c r="J56" s="815"/>
      <c r="K56" s="863"/>
      <c r="L56" s="864"/>
      <c r="M56" s="133"/>
      <c r="N56" s="811"/>
      <c r="O56" s="478"/>
      <c r="P56" s="812"/>
      <c r="Q56" s="865"/>
      <c r="R56" s="2"/>
      <c r="S56" s="813"/>
      <c r="T56" s="814"/>
    </row>
    <row r="57" spans="1:20" ht="18" customHeight="1" hidden="1">
      <c r="A57" s="874"/>
      <c r="B57" s="131"/>
      <c r="C57" s="2"/>
      <c r="D57" s="860"/>
      <c r="E57" s="861"/>
      <c r="F57" s="132"/>
      <c r="G57" s="862"/>
      <c r="H57" s="863"/>
      <c r="I57" s="864"/>
      <c r="J57" s="815"/>
      <c r="K57" s="863"/>
      <c r="L57" s="864"/>
      <c r="M57" s="133"/>
      <c r="N57" s="811"/>
      <c r="O57" s="478"/>
      <c r="P57" s="812"/>
      <c r="Q57" s="865"/>
      <c r="R57" s="2"/>
      <c r="S57" s="813"/>
      <c r="T57" s="814"/>
    </row>
    <row r="58" spans="1:20" ht="18" customHeight="1" hidden="1">
      <c r="A58" s="874"/>
      <c r="B58" s="131"/>
      <c r="C58" s="2"/>
      <c r="D58" s="860"/>
      <c r="E58" s="861"/>
      <c r="F58" s="132"/>
      <c r="G58" s="862"/>
      <c r="H58" s="863"/>
      <c r="I58" s="864"/>
      <c r="J58" s="815"/>
      <c r="K58" s="863"/>
      <c r="L58" s="864"/>
      <c r="M58" s="133"/>
      <c r="N58" s="811"/>
      <c r="O58" s="478"/>
      <c r="P58" s="812"/>
      <c r="Q58" s="865"/>
      <c r="R58" s="2"/>
      <c r="S58" s="813"/>
      <c r="T58" s="814"/>
    </row>
    <row r="59" spans="1:20" ht="18.75" thickBot="1">
      <c r="A59" s="874"/>
      <c r="B59" s="881"/>
      <c r="C59" s="2"/>
      <c r="D59" s="131"/>
      <c r="E59" s="864"/>
      <c r="F59" s="132"/>
      <c r="G59" s="862"/>
      <c r="H59" s="863"/>
      <c r="I59" s="864"/>
      <c r="J59" s="864"/>
      <c r="K59" s="863"/>
      <c r="L59" s="864"/>
      <c r="M59" s="133"/>
      <c r="N59" s="885"/>
      <c r="O59" s="479"/>
      <c r="P59" s="815"/>
      <c r="Q59" s="865"/>
      <c r="R59" s="2"/>
      <c r="S59" s="866"/>
      <c r="T59" s="867"/>
    </row>
    <row r="60" spans="1:20" ht="30" customHeight="1" thickBot="1">
      <c r="A60" s="159" t="s">
        <v>4</v>
      </c>
      <c r="B60" s="160"/>
      <c r="C60" s="161"/>
      <c r="D60" s="162">
        <f>+D38+D40-D41</f>
        <v>10717267</v>
      </c>
      <c r="E60" s="162">
        <f>+E38+E40-E41</f>
        <v>13932091</v>
      </c>
      <c r="F60" s="163">
        <f>+F38+F40-F41</f>
        <v>16052950</v>
      </c>
      <c r="G60" s="164">
        <f>+G38+G40-G41</f>
        <v>18414380</v>
      </c>
      <c r="H60" s="165">
        <f>+H38+H40-H41</f>
        <v>19338538</v>
      </c>
      <c r="I60" s="162">
        <f>+I38+I40</f>
        <v>0</v>
      </c>
      <c r="J60" s="163">
        <f>+J38+J40-J41</f>
        <v>19338538</v>
      </c>
      <c r="K60" s="165">
        <f>+K38+K40-K41</f>
        <v>19883045</v>
      </c>
      <c r="L60" s="165">
        <f>+L38+L40-L41</f>
        <v>0</v>
      </c>
      <c r="M60" s="166">
        <f>+M38+M40-M41</f>
        <v>19883045</v>
      </c>
      <c r="N60" s="167">
        <f>+N38+N40-N41</f>
        <v>21015214</v>
      </c>
      <c r="O60" s="162">
        <f>+O38+O40</f>
        <v>0</v>
      </c>
      <c r="P60" s="168">
        <f>+P38+P40-P41</f>
        <v>21015214</v>
      </c>
      <c r="Q60" s="169"/>
      <c r="R60" s="5"/>
      <c r="S60" s="170">
        <f>IF(D60&gt;0,((G60/D60)^(1/3))-1,"-")</f>
        <v>0.1977265689144907</v>
      </c>
      <c r="T60" s="171">
        <f>IF(G60&gt;0,((P60/G60)^(1/3))-1,"-")</f>
        <v>0.04502233336293582</v>
      </c>
    </row>
    <row r="61" ht="18.75" thickTop="1"/>
    <row r="62" spans="1:20" ht="18.75" thickBot="1">
      <c r="A62" s="172" t="s">
        <v>17</v>
      </c>
      <c r="B62" s="111"/>
      <c r="C62" s="111"/>
      <c r="D62" s="111"/>
      <c r="E62" s="111"/>
      <c r="F62" s="111"/>
      <c r="G62" s="173"/>
      <c r="H62" s="111"/>
      <c r="I62" s="111"/>
      <c r="J62" s="111"/>
      <c r="K62" s="111"/>
      <c r="L62" s="111"/>
      <c r="M62" s="111"/>
      <c r="N62" s="111"/>
      <c r="O62" s="111"/>
      <c r="P62" s="173"/>
      <c r="Q62" s="111"/>
      <c r="R62" s="2"/>
      <c r="S62" s="3"/>
      <c r="T62" s="4"/>
    </row>
    <row r="63" spans="1:20" ht="19.5" thickBot="1" thickTop="1">
      <c r="A63" s="174" t="s">
        <v>18</v>
      </c>
      <c r="B63" s="175" t="s">
        <v>19</v>
      </c>
      <c r="C63" s="175"/>
      <c r="D63" s="175"/>
      <c r="E63" s="175"/>
      <c r="F63" s="175"/>
      <c r="G63" s="175"/>
      <c r="H63" s="176" t="s">
        <v>3</v>
      </c>
      <c r="I63" s="177"/>
      <c r="J63" s="178"/>
      <c r="K63" s="179" t="s">
        <v>15</v>
      </c>
      <c r="L63" s="180"/>
      <c r="M63" s="181"/>
      <c r="N63" s="179" t="s">
        <v>71</v>
      </c>
      <c r="O63" s="180"/>
      <c r="P63" s="180"/>
      <c r="Q63" s="182"/>
      <c r="R63" s="2"/>
      <c r="S63" s="3"/>
      <c r="T63" s="4"/>
    </row>
    <row r="64" spans="1:20" ht="18">
      <c r="A64" s="90"/>
      <c r="B64" s="183"/>
      <c r="C64" s="183"/>
      <c r="D64" s="183"/>
      <c r="E64" s="183"/>
      <c r="F64" s="183"/>
      <c r="G64" s="183"/>
      <c r="H64" s="184" t="s">
        <v>20</v>
      </c>
      <c r="I64" s="185" t="s">
        <v>5</v>
      </c>
      <c r="J64" s="186"/>
      <c r="K64" s="184" t="s">
        <v>20</v>
      </c>
      <c r="L64" s="185" t="s">
        <v>5</v>
      </c>
      <c r="M64" s="186"/>
      <c r="N64" s="184" t="s">
        <v>20</v>
      </c>
      <c r="O64" s="185" t="s">
        <v>5</v>
      </c>
      <c r="P64" s="187"/>
      <c r="Q64" s="188"/>
      <c r="R64" s="2"/>
      <c r="S64" s="3"/>
      <c r="T64" s="4"/>
    </row>
    <row r="65" spans="1:20" ht="18">
      <c r="A65" s="90"/>
      <c r="B65" s="183"/>
      <c r="C65" s="183"/>
      <c r="D65" s="183"/>
      <c r="E65" s="183"/>
      <c r="F65" s="183"/>
      <c r="G65" s="183"/>
      <c r="H65" s="184"/>
      <c r="I65" s="185"/>
      <c r="J65" s="186"/>
      <c r="K65" s="184"/>
      <c r="L65" s="185"/>
      <c r="M65" s="186"/>
      <c r="N65" s="184"/>
      <c r="O65" s="185"/>
      <c r="P65" s="187"/>
      <c r="Q65" s="188"/>
      <c r="R65" s="2"/>
      <c r="S65" s="3"/>
      <c r="T65" s="4"/>
    </row>
    <row r="66" spans="1:20" ht="18">
      <c r="A66" s="90"/>
      <c r="B66" s="183"/>
      <c r="C66" s="183"/>
      <c r="D66" s="183"/>
      <c r="E66" s="183"/>
      <c r="F66" s="183"/>
      <c r="G66" s="183"/>
      <c r="H66" s="184"/>
      <c r="I66" s="185"/>
      <c r="J66" s="186"/>
      <c r="K66" s="184"/>
      <c r="L66" s="185"/>
      <c r="M66" s="186"/>
      <c r="N66" s="184"/>
      <c r="O66" s="185"/>
      <c r="P66" s="187"/>
      <c r="Q66" s="188"/>
      <c r="R66" s="2"/>
      <c r="S66" s="3"/>
      <c r="T66" s="4"/>
    </row>
    <row r="67" spans="1:20" ht="19.5" thickBot="1">
      <c r="A67" s="189"/>
      <c r="B67" s="1037">
        <v>-1</v>
      </c>
      <c r="C67" s="1037"/>
      <c r="D67" s="1037"/>
      <c r="E67" s="1037"/>
      <c r="F67" s="1037"/>
      <c r="G67" s="1037"/>
      <c r="H67" s="62">
        <f>+B67-1</f>
        <v>-2</v>
      </c>
      <c r="I67" s="63">
        <f>+H67-1</f>
        <v>-3</v>
      </c>
      <c r="J67" s="190"/>
      <c r="K67" s="64">
        <f>+I67-1</f>
        <v>-4</v>
      </c>
      <c r="L67" s="191">
        <f>+K67-1</f>
        <v>-5</v>
      </c>
      <c r="M67" s="192"/>
      <c r="N67" s="64">
        <f>+L67-1</f>
        <v>-6</v>
      </c>
      <c r="O67" s="65">
        <f>+N67-1</f>
        <v>-7</v>
      </c>
      <c r="P67" s="193"/>
      <c r="Q67" s="194"/>
      <c r="R67" s="2"/>
      <c r="S67" s="3"/>
      <c r="T67" s="4"/>
    </row>
    <row r="68" spans="1:17" ht="18">
      <c r="A68" s="484"/>
      <c r="B68" s="483"/>
      <c r="C68" s="483"/>
      <c r="D68" s="483"/>
      <c r="E68" s="483"/>
      <c r="F68" s="483"/>
      <c r="G68" s="483"/>
      <c r="H68" s="195" t="s">
        <v>6</v>
      </c>
      <c r="I68" s="196" t="s">
        <v>6</v>
      </c>
      <c r="J68" s="197"/>
      <c r="K68" s="195" t="s">
        <v>6</v>
      </c>
      <c r="L68" s="196" t="s">
        <v>6</v>
      </c>
      <c r="M68" s="197"/>
      <c r="N68" s="195" t="s">
        <v>6</v>
      </c>
      <c r="O68" s="196" t="s">
        <v>6</v>
      </c>
      <c r="P68" s="198"/>
      <c r="Q68" s="199"/>
    </row>
    <row r="69" spans="1:17" ht="18">
      <c r="A69" s="486">
        <v>1</v>
      </c>
      <c r="B69" s="483" t="s">
        <v>226</v>
      </c>
      <c r="C69" s="483"/>
      <c r="D69" s="483"/>
      <c r="E69" s="483"/>
      <c r="F69" s="483"/>
      <c r="G69" s="483"/>
      <c r="H69" s="487">
        <v>92730</v>
      </c>
      <c r="I69" s="886">
        <f>'Schedule 1 (A) '!G12</f>
        <v>0</v>
      </c>
      <c r="J69" s="201"/>
      <c r="K69" s="487">
        <v>145320</v>
      </c>
      <c r="L69" s="200">
        <f>'Schedule 1 (A) '!J12</f>
        <v>0</v>
      </c>
      <c r="M69" s="201"/>
      <c r="N69" s="487">
        <v>206160</v>
      </c>
      <c r="O69" s="200">
        <f>'Schedule 1 (A) '!M12</f>
        <v>0</v>
      </c>
      <c r="P69" s="202"/>
      <c r="Q69" s="485"/>
    </row>
    <row r="70" spans="1:17" ht="18">
      <c r="A70" s="486">
        <v>2</v>
      </c>
      <c r="B70" s="483" t="s">
        <v>232</v>
      </c>
      <c r="C70" s="483"/>
      <c r="D70" s="483"/>
      <c r="E70" s="483"/>
      <c r="F70" s="483"/>
      <c r="G70" s="483"/>
      <c r="H70" s="487">
        <v>130057</v>
      </c>
      <c r="I70" s="886">
        <f>'Schedule 1 (A) '!G24</f>
        <v>0</v>
      </c>
      <c r="J70" s="201"/>
      <c r="K70" s="487">
        <v>290557</v>
      </c>
      <c r="L70" s="200">
        <f>'Schedule 1 (A) '!J24</f>
        <v>0</v>
      </c>
      <c r="M70" s="201"/>
      <c r="N70" s="487">
        <v>305157</v>
      </c>
      <c r="O70" s="200">
        <f>'Schedule 1 (A) '!M24</f>
        <v>0</v>
      </c>
      <c r="P70" s="202"/>
      <c r="Q70" s="485"/>
    </row>
    <row r="71" spans="1:17" ht="18">
      <c r="A71" s="486">
        <v>3</v>
      </c>
      <c r="B71" s="483" t="s">
        <v>227</v>
      </c>
      <c r="C71" s="483"/>
      <c r="D71" s="483"/>
      <c r="E71" s="483"/>
      <c r="F71" s="483"/>
      <c r="G71" s="483"/>
      <c r="H71" s="487">
        <v>66670</v>
      </c>
      <c r="I71" s="886">
        <f>'Schedule 1 (A) '!G36</f>
        <v>0</v>
      </c>
      <c r="J71" s="201"/>
      <c r="K71" s="487">
        <v>69120</v>
      </c>
      <c r="L71" s="200">
        <f>'Schedule 1 (A) '!J36</f>
        <v>0</v>
      </c>
      <c r="M71" s="201"/>
      <c r="N71" s="487">
        <v>72440</v>
      </c>
      <c r="O71" s="200">
        <f>'Schedule 1 (A) '!M36</f>
        <v>0</v>
      </c>
      <c r="P71" s="202"/>
      <c r="Q71" s="485"/>
    </row>
    <row r="72" spans="1:17" ht="18">
      <c r="A72" s="486">
        <v>4</v>
      </c>
      <c r="B72" s="483" t="s">
        <v>233</v>
      </c>
      <c r="C72" s="483"/>
      <c r="D72" s="483"/>
      <c r="E72" s="483"/>
      <c r="F72" s="483"/>
      <c r="G72" s="483"/>
      <c r="H72" s="487">
        <f>'Schedule 1 (A) '!F48</f>
        <v>0</v>
      </c>
      <c r="I72" s="886">
        <f>'Schedule 1 (A) '!G48</f>
        <v>0</v>
      </c>
      <c r="J72" s="201"/>
      <c r="K72" s="487">
        <v>113179</v>
      </c>
      <c r="L72" s="200">
        <f>'Schedule 1 (A) '!J48</f>
        <v>0</v>
      </c>
      <c r="M72" s="201"/>
      <c r="N72" s="487">
        <v>113179</v>
      </c>
      <c r="O72" s="200">
        <f>'Schedule 1 (A) '!M48</f>
        <v>0</v>
      </c>
      <c r="P72" s="202"/>
      <c r="Q72" s="485"/>
    </row>
    <row r="73" spans="1:17" ht="18.75" thickBot="1">
      <c r="A73" s="488"/>
      <c r="B73" s="483"/>
      <c r="C73" s="483"/>
      <c r="D73" s="483"/>
      <c r="E73" s="483"/>
      <c r="F73" s="483"/>
      <c r="G73" s="483"/>
      <c r="H73" s="489"/>
      <c r="I73" s="887"/>
      <c r="J73" s="204"/>
      <c r="K73" s="489"/>
      <c r="L73" s="203"/>
      <c r="M73" s="204"/>
      <c r="N73" s="489"/>
      <c r="O73" s="203"/>
      <c r="P73" s="205"/>
      <c r="Q73" s="490"/>
    </row>
    <row r="74" spans="1:17" ht="21" thickBot="1">
      <c r="A74" s="206" t="s">
        <v>54</v>
      </c>
      <c r="B74" s="207"/>
      <c r="C74" s="207"/>
      <c r="D74" s="207"/>
      <c r="E74" s="207"/>
      <c r="F74" s="207"/>
      <c r="G74" s="207"/>
      <c r="H74" s="208">
        <f>SUM(H69:H73)</f>
        <v>289457</v>
      </c>
      <c r="I74" s="209">
        <f>SUM(I69:I73)</f>
        <v>0</v>
      </c>
      <c r="J74" s="210"/>
      <c r="K74" s="208">
        <f>SUM(K69:K73)</f>
        <v>618176</v>
      </c>
      <c r="L74" s="209">
        <f>SUM(L69:L73)</f>
        <v>0</v>
      </c>
      <c r="M74" s="210"/>
      <c r="N74" s="208">
        <f>SUM(N69:N73)</f>
        <v>696936</v>
      </c>
      <c r="O74" s="209">
        <f>SUM(O69:O73)</f>
        <v>0</v>
      </c>
      <c r="P74" s="211"/>
      <c r="Q74" s="212"/>
    </row>
    <row r="75" ht="18.75" thickTop="1"/>
  </sheetData>
  <mergeCells count="3">
    <mergeCell ref="D5:F5"/>
    <mergeCell ref="H5:Q5"/>
    <mergeCell ref="B67:G6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59"/>
  <sheetViews>
    <sheetView showZeros="0" zoomScale="75" zoomScaleNormal="75" zoomScaleSheetLayoutView="25" workbookViewId="0" topLeftCell="A30">
      <selection activeCell="B52" sqref="B52"/>
    </sheetView>
  </sheetViews>
  <sheetFormatPr defaultColWidth="9.140625" defaultRowHeight="12.75"/>
  <cols>
    <col min="1" max="1" width="40.00390625" style="447" customWidth="1"/>
    <col min="2" max="4" width="15.7109375" style="447" customWidth="1"/>
    <col min="5" max="5" width="1.7109375" style="461" customWidth="1"/>
    <col min="6" max="7" width="15.7109375" style="447" customWidth="1"/>
    <col min="8" max="8" width="15.7109375" style="447" hidden="1" customWidth="1"/>
    <col min="9" max="10" width="15.7109375" style="447" customWidth="1"/>
    <col min="11" max="11" width="15.7109375" style="447" hidden="1" customWidth="1"/>
    <col min="12" max="13" width="15.7109375" style="447" customWidth="1"/>
    <col min="14" max="14" width="15.7109375" style="447" hidden="1" customWidth="1"/>
    <col min="15" max="15" width="1.7109375" style="447" customWidth="1"/>
    <col min="16" max="16" width="2.7109375" style="447" customWidth="1"/>
    <col min="17" max="17" width="12.7109375" style="448" customWidth="1"/>
    <col min="18" max="18" width="12.7109375" style="449" customWidth="1"/>
    <col min="19" max="16384" width="10.28125" style="447" customWidth="1"/>
  </cols>
  <sheetData>
    <row r="1" spans="1:15" ht="24.75">
      <c r="A1" s="1044" t="str">
        <f>'Schedule 1 '!A1</f>
        <v>VOTE:  21  DEFENCE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</row>
    <row r="2" spans="1:189" ht="18" customHeight="1">
      <c r="A2" s="450"/>
      <c r="B2" s="452"/>
      <c r="C2" s="452"/>
      <c r="D2" s="451"/>
      <c r="E2" s="453"/>
      <c r="F2" s="451"/>
      <c r="G2" s="451"/>
      <c r="H2" s="451"/>
      <c r="I2" s="451"/>
      <c r="J2" s="451"/>
      <c r="K2" s="451"/>
      <c r="L2" s="452"/>
      <c r="M2" s="452"/>
      <c r="N2" s="452"/>
      <c r="O2" s="6" t="s">
        <v>161</v>
      </c>
      <c r="P2" s="451"/>
      <c r="Q2" s="454"/>
      <c r="R2" s="455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1"/>
      <c r="FB2" s="451"/>
      <c r="FC2" s="451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  <c r="GA2" s="451"/>
      <c r="GB2" s="451"/>
      <c r="GC2" s="451"/>
      <c r="GD2" s="451"/>
      <c r="GE2" s="451"/>
      <c r="GF2" s="451"/>
      <c r="GG2" s="451"/>
    </row>
    <row r="3" spans="1:189" ht="21.75" customHeight="1">
      <c r="A3" s="1043" t="s">
        <v>171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456"/>
      <c r="Q3" s="457"/>
      <c r="R3" s="458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</row>
    <row r="4" spans="1:17" ht="18" customHeight="1" thickBot="1">
      <c r="A4" s="459"/>
      <c r="B4" s="460"/>
      <c r="C4" s="460"/>
      <c r="D4" s="461"/>
      <c r="F4" s="461"/>
      <c r="G4" s="461"/>
      <c r="H4" s="461"/>
      <c r="I4" s="461"/>
      <c r="J4" s="461"/>
      <c r="K4" s="461"/>
      <c r="L4" s="460"/>
      <c r="M4" s="460"/>
      <c r="N4" s="460"/>
      <c r="Q4" s="449"/>
    </row>
    <row r="5" spans="1:15" ht="19.5" thickBot="1" thickTop="1">
      <c r="A5" s="1040" t="s">
        <v>165</v>
      </c>
      <c r="B5" s="1041"/>
      <c r="C5" s="1041"/>
      <c r="D5" s="1042"/>
      <c r="E5" s="888"/>
      <c r="F5" s="889" t="s">
        <v>3</v>
      </c>
      <c r="G5" s="890"/>
      <c r="H5" s="891"/>
      <c r="I5" s="892" t="s">
        <v>15</v>
      </c>
      <c r="J5" s="893"/>
      <c r="K5" s="894"/>
      <c r="L5" s="892" t="s">
        <v>71</v>
      </c>
      <c r="M5" s="893"/>
      <c r="N5" s="893"/>
      <c r="O5" s="895"/>
    </row>
    <row r="6" spans="1:15" ht="18">
      <c r="A6" s="896"/>
      <c r="B6" s="897"/>
      <c r="C6" s="897"/>
      <c r="D6" s="897"/>
      <c r="E6" s="896"/>
      <c r="F6" s="898" t="s">
        <v>20</v>
      </c>
      <c r="G6" s="899" t="s">
        <v>5</v>
      </c>
      <c r="H6" s="900" t="s">
        <v>135</v>
      </c>
      <c r="I6" s="901" t="s">
        <v>20</v>
      </c>
      <c r="J6" s="899" t="s">
        <v>5</v>
      </c>
      <c r="K6" s="900" t="s">
        <v>135</v>
      </c>
      <c r="L6" s="901" t="s">
        <v>20</v>
      </c>
      <c r="M6" s="902" t="s">
        <v>5</v>
      </c>
      <c r="N6" s="903" t="s">
        <v>135</v>
      </c>
      <c r="O6" s="476"/>
    </row>
    <row r="7" spans="1:15" ht="18">
      <c r="A7" s="896"/>
      <c r="B7" s="897"/>
      <c r="C7" s="897"/>
      <c r="D7" s="897"/>
      <c r="E7" s="896"/>
      <c r="F7" s="898"/>
      <c r="G7" s="899"/>
      <c r="H7" s="900" t="s">
        <v>134</v>
      </c>
      <c r="I7" s="901"/>
      <c r="J7" s="899"/>
      <c r="K7" s="900" t="s">
        <v>134</v>
      </c>
      <c r="L7" s="901"/>
      <c r="M7" s="904"/>
      <c r="N7" s="903" t="s">
        <v>134</v>
      </c>
      <c r="O7" s="476"/>
    </row>
    <row r="8" spans="1:15" ht="18">
      <c r="A8" s="896"/>
      <c r="B8" s="897"/>
      <c r="C8" s="897"/>
      <c r="D8" s="897"/>
      <c r="E8" s="896"/>
      <c r="F8" s="898"/>
      <c r="G8" s="899"/>
      <c r="H8" s="900"/>
      <c r="I8" s="901"/>
      <c r="J8" s="899"/>
      <c r="K8" s="900"/>
      <c r="L8" s="901"/>
      <c r="M8" s="904"/>
      <c r="N8" s="903"/>
      <c r="O8" s="476"/>
    </row>
    <row r="9" spans="1:15" ht="19.5" thickBot="1">
      <c r="A9" s="1038">
        <v>-1</v>
      </c>
      <c r="B9" s="1039"/>
      <c r="C9" s="1039"/>
      <c r="D9" s="1039"/>
      <c r="E9" s="905"/>
      <c r="F9" s="906">
        <f>+A9-1</f>
        <v>-2</v>
      </c>
      <c r="G9" s="907">
        <f aca="true" t="shared" si="0" ref="G9:N9">+F9-1</f>
        <v>-3</v>
      </c>
      <c r="H9" s="908">
        <f t="shared" si="0"/>
        <v>-4</v>
      </c>
      <c r="I9" s="909">
        <f>+G9-1</f>
        <v>-4</v>
      </c>
      <c r="J9" s="907">
        <f t="shared" si="0"/>
        <v>-5</v>
      </c>
      <c r="K9" s="908">
        <f t="shared" si="0"/>
        <v>-6</v>
      </c>
      <c r="L9" s="909">
        <f>+J9-1</f>
        <v>-6</v>
      </c>
      <c r="M9" s="910">
        <f t="shared" si="0"/>
        <v>-7</v>
      </c>
      <c r="N9" s="911">
        <f t="shared" si="0"/>
        <v>-8</v>
      </c>
      <c r="O9" s="912"/>
    </row>
    <row r="10" spans="1:15" ht="18" customHeight="1">
      <c r="A10" s="491"/>
      <c r="B10" s="483"/>
      <c r="C10" s="483"/>
      <c r="D10" s="492"/>
      <c r="E10" s="491"/>
      <c r="F10" s="913" t="s">
        <v>6</v>
      </c>
      <c r="G10" s="914" t="s">
        <v>6</v>
      </c>
      <c r="H10" s="493" t="s">
        <v>6</v>
      </c>
      <c r="I10" s="915" t="s">
        <v>6</v>
      </c>
      <c r="J10" s="914" t="s">
        <v>6</v>
      </c>
      <c r="K10" s="493" t="s">
        <v>6</v>
      </c>
      <c r="L10" s="915" t="s">
        <v>6</v>
      </c>
      <c r="M10" s="494" t="s">
        <v>6</v>
      </c>
      <c r="N10" s="495" t="s">
        <v>6</v>
      </c>
      <c r="O10" s="492"/>
    </row>
    <row r="11" spans="1:15" ht="18" customHeight="1">
      <c r="A11" s="491"/>
      <c r="B11" s="483"/>
      <c r="C11" s="483"/>
      <c r="D11" s="492"/>
      <c r="E11" s="491"/>
      <c r="F11" s="495"/>
      <c r="G11" s="494"/>
      <c r="H11" s="493"/>
      <c r="I11" s="496"/>
      <c r="J11" s="494"/>
      <c r="K11" s="493"/>
      <c r="L11" s="496"/>
      <c r="M11" s="494"/>
      <c r="N11" s="495"/>
      <c r="O11" s="492"/>
    </row>
    <row r="12" spans="1:15" ht="18" customHeight="1">
      <c r="A12" s="497" t="s">
        <v>228</v>
      </c>
      <c r="B12" s="483"/>
      <c r="C12" s="483"/>
      <c r="D12" s="492"/>
      <c r="E12" s="491"/>
      <c r="F12" s="219">
        <f aca="true" t="shared" si="1" ref="F12:N12">SUM(F13:F13)</f>
        <v>92830</v>
      </c>
      <c r="G12" s="220">
        <f t="shared" si="1"/>
        <v>0</v>
      </c>
      <c r="H12" s="221">
        <f t="shared" si="1"/>
        <v>0</v>
      </c>
      <c r="I12" s="222">
        <f t="shared" si="1"/>
        <v>145320</v>
      </c>
      <c r="J12" s="220">
        <f t="shared" si="1"/>
        <v>0</v>
      </c>
      <c r="K12" s="221">
        <f t="shared" si="1"/>
        <v>0</v>
      </c>
      <c r="L12" s="222">
        <f t="shared" si="1"/>
        <v>206160</v>
      </c>
      <c r="M12" s="223">
        <f t="shared" si="1"/>
        <v>0</v>
      </c>
      <c r="N12" s="498">
        <f t="shared" si="1"/>
        <v>0</v>
      </c>
      <c r="O12" s="492"/>
    </row>
    <row r="13" spans="1:15" ht="18" customHeight="1">
      <c r="A13" s="499" t="s">
        <v>229</v>
      </c>
      <c r="B13" s="483"/>
      <c r="C13" s="483"/>
      <c r="D13" s="492"/>
      <c r="E13" s="491"/>
      <c r="F13" s="1019">
        <v>92830</v>
      </c>
      <c r="G13" s="1020">
        <v>0</v>
      </c>
      <c r="H13" s="1021">
        <v>0</v>
      </c>
      <c r="I13" s="1022">
        <v>145320</v>
      </c>
      <c r="J13" s="1020">
        <v>0</v>
      </c>
      <c r="K13" s="1021">
        <v>0</v>
      </c>
      <c r="L13" s="1022">
        <v>206160</v>
      </c>
      <c r="M13" s="1023">
        <v>0</v>
      </c>
      <c r="N13" s="502">
        <v>0</v>
      </c>
      <c r="O13" s="492"/>
    </row>
    <row r="14" spans="1:15" ht="18" customHeight="1">
      <c r="A14" s="499"/>
      <c r="B14" s="483"/>
      <c r="C14" s="483"/>
      <c r="D14" s="492"/>
      <c r="E14" s="491"/>
      <c r="F14" s="508"/>
      <c r="G14" s="508"/>
      <c r="H14" s="509"/>
      <c r="I14" s="487"/>
      <c r="J14" s="508"/>
      <c r="K14" s="509"/>
      <c r="L14" s="487"/>
      <c r="M14" s="510"/>
      <c r="N14" s="510"/>
      <c r="O14" s="492"/>
    </row>
    <row r="15" spans="1:15" ht="18" customHeight="1">
      <c r="A15" s="228" t="s">
        <v>162</v>
      </c>
      <c r="B15" s="483"/>
      <c r="C15" s="483"/>
      <c r="D15" s="492"/>
      <c r="E15" s="491"/>
      <c r="F15" s="229">
        <f aca="true" t="shared" si="2" ref="F15:N15">SUM(F16:F18)</f>
        <v>92830</v>
      </c>
      <c r="G15" s="229">
        <f t="shared" si="2"/>
        <v>0</v>
      </c>
      <c r="H15" s="230">
        <f t="shared" si="2"/>
        <v>0</v>
      </c>
      <c r="I15" s="231">
        <f t="shared" si="2"/>
        <v>145320</v>
      </c>
      <c r="J15" s="229">
        <f t="shared" si="2"/>
        <v>0</v>
      </c>
      <c r="K15" s="230">
        <f t="shared" si="2"/>
        <v>0</v>
      </c>
      <c r="L15" s="231">
        <f t="shared" si="2"/>
        <v>206160</v>
      </c>
      <c r="M15" s="232">
        <f t="shared" si="2"/>
        <v>0</v>
      </c>
      <c r="N15" s="511">
        <f t="shared" si="2"/>
        <v>0</v>
      </c>
      <c r="O15" s="492"/>
    </row>
    <row r="16" spans="1:15" ht="18" customHeight="1">
      <c r="A16" s="233" t="s">
        <v>25</v>
      </c>
      <c r="B16" s="483"/>
      <c r="C16" s="483"/>
      <c r="D16" s="492"/>
      <c r="E16" s="491"/>
      <c r="F16" s="500">
        <v>58010</v>
      </c>
      <c r="G16" s="234">
        <v>0</v>
      </c>
      <c r="H16" s="513">
        <v>0</v>
      </c>
      <c r="I16" s="501">
        <v>60820</v>
      </c>
      <c r="J16" s="234">
        <v>0</v>
      </c>
      <c r="K16" s="513">
        <v>0</v>
      </c>
      <c r="L16" s="501">
        <v>117430</v>
      </c>
      <c r="M16" s="224">
        <v>0</v>
      </c>
      <c r="N16" s="502">
        <v>0</v>
      </c>
      <c r="O16" s="492"/>
    </row>
    <row r="17" spans="1:15" ht="18" customHeight="1">
      <c r="A17" s="233" t="s">
        <v>28</v>
      </c>
      <c r="B17" s="483"/>
      <c r="C17" s="483"/>
      <c r="D17" s="492"/>
      <c r="E17" s="491"/>
      <c r="F17" s="503">
        <v>0</v>
      </c>
      <c r="G17" s="227">
        <v>0</v>
      </c>
      <c r="H17" s="509">
        <v>0</v>
      </c>
      <c r="I17" s="487">
        <v>0</v>
      </c>
      <c r="J17" s="227">
        <v>0</v>
      </c>
      <c r="K17" s="509">
        <v>0</v>
      </c>
      <c r="L17" s="487">
        <v>0</v>
      </c>
      <c r="M17" s="225">
        <v>0</v>
      </c>
      <c r="N17" s="504">
        <v>0</v>
      </c>
      <c r="O17" s="492"/>
    </row>
    <row r="18" spans="1:15" ht="18" customHeight="1">
      <c r="A18" s="233" t="s">
        <v>53</v>
      </c>
      <c r="B18" s="483"/>
      <c r="C18" s="483"/>
      <c r="D18" s="492"/>
      <c r="E18" s="491"/>
      <c r="F18" s="505">
        <v>34820</v>
      </c>
      <c r="G18" s="235">
        <v>0</v>
      </c>
      <c r="H18" s="514">
        <v>0</v>
      </c>
      <c r="I18" s="506">
        <v>84500</v>
      </c>
      <c r="J18" s="235">
        <v>0</v>
      </c>
      <c r="K18" s="514">
        <v>0</v>
      </c>
      <c r="L18" s="506">
        <v>88730</v>
      </c>
      <c r="M18" s="226">
        <v>0</v>
      </c>
      <c r="N18" s="507">
        <v>0</v>
      </c>
      <c r="O18" s="492"/>
    </row>
    <row r="19" spans="1:15" ht="18" customHeight="1">
      <c r="A19" s="228" t="s">
        <v>163</v>
      </c>
      <c r="B19" s="483"/>
      <c r="C19" s="483"/>
      <c r="D19" s="492"/>
      <c r="E19" s="491"/>
      <c r="F19" s="229">
        <f aca="true" t="shared" si="3" ref="F19:N19">SUM(F20:F21)</f>
        <v>0</v>
      </c>
      <c r="G19" s="229">
        <f t="shared" si="3"/>
        <v>0</v>
      </c>
      <c r="H19" s="230">
        <f t="shared" si="3"/>
        <v>0</v>
      </c>
      <c r="I19" s="231">
        <f t="shared" si="3"/>
        <v>0</v>
      </c>
      <c r="J19" s="229">
        <f t="shared" si="3"/>
        <v>0</v>
      </c>
      <c r="K19" s="230">
        <f t="shared" si="3"/>
        <v>0</v>
      </c>
      <c r="L19" s="231">
        <f t="shared" si="3"/>
        <v>0</v>
      </c>
      <c r="M19" s="232">
        <f t="shared" si="3"/>
        <v>0</v>
      </c>
      <c r="N19" s="511">
        <f t="shared" si="3"/>
        <v>0</v>
      </c>
      <c r="O19" s="492"/>
    </row>
    <row r="20" spans="1:15" ht="18" customHeight="1">
      <c r="A20" s="233" t="s">
        <v>28</v>
      </c>
      <c r="B20" s="483"/>
      <c r="C20" s="483"/>
      <c r="D20" s="492"/>
      <c r="E20" s="491"/>
      <c r="F20" s="500">
        <v>0</v>
      </c>
      <c r="G20" s="234">
        <v>0</v>
      </c>
      <c r="H20" s="513">
        <v>0</v>
      </c>
      <c r="I20" s="501">
        <v>0</v>
      </c>
      <c r="J20" s="234">
        <v>0</v>
      </c>
      <c r="K20" s="513">
        <v>0</v>
      </c>
      <c r="L20" s="501">
        <v>0</v>
      </c>
      <c r="M20" s="224">
        <v>0</v>
      </c>
      <c r="N20" s="502">
        <v>0</v>
      </c>
      <c r="O20" s="492"/>
    </row>
    <row r="21" spans="1:15" ht="18" customHeight="1">
      <c r="A21" s="233" t="s">
        <v>164</v>
      </c>
      <c r="B21" s="483"/>
      <c r="C21" s="483"/>
      <c r="D21" s="492"/>
      <c r="E21" s="491"/>
      <c r="F21" s="505">
        <v>0</v>
      </c>
      <c r="G21" s="235">
        <v>0</v>
      </c>
      <c r="H21" s="514">
        <v>0</v>
      </c>
      <c r="I21" s="506">
        <v>0</v>
      </c>
      <c r="J21" s="235">
        <v>0</v>
      </c>
      <c r="K21" s="514">
        <v>0</v>
      </c>
      <c r="L21" s="506">
        <v>0</v>
      </c>
      <c r="M21" s="226">
        <v>0</v>
      </c>
      <c r="N21" s="507">
        <v>0</v>
      </c>
      <c r="O21" s="492"/>
    </row>
    <row r="22" spans="1:15" ht="18" customHeight="1" thickBot="1">
      <c r="A22" s="512"/>
      <c r="B22" s="483"/>
      <c r="C22" s="483"/>
      <c r="D22" s="492"/>
      <c r="E22" s="491"/>
      <c r="F22" s="508"/>
      <c r="G22" s="508"/>
      <c r="H22" s="509"/>
      <c r="I22" s="487"/>
      <c r="J22" s="508"/>
      <c r="K22" s="509"/>
      <c r="L22" s="487"/>
      <c r="M22" s="510"/>
      <c r="N22" s="510"/>
      <c r="O22" s="492"/>
    </row>
    <row r="23" spans="1:15" ht="18" customHeight="1">
      <c r="A23" s="515"/>
      <c r="B23" s="516"/>
      <c r="C23" s="516"/>
      <c r="D23" s="517"/>
      <c r="E23" s="518"/>
      <c r="F23" s="519"/>
      <c r="G23" s="519"/>
      <c r="H23" s="520"/>
      <c r="I23" s="521"/>
      <c r="J23" s="519"/>
      <c r="K23" s="520"/>
      <c r="L23" s="521"/>
      <c r="M23" s="522"/>
      <c r="N23" s="522"/>
      <c r="O23" s="517"/>
    </row>
    <row r="24" spans="1:15" ht="18" customHeight="1">
      <c r="A24" s="497" t="s">
        <v>234</v>
      </c>
      <c r="B24" s="483"/>
      <c r="C24" s="483"/>
      <c r="D24" s="492"/>
      <c r="E24" s="491"/>
      <c r="F24" s="219">
        <f aca="true" t="shared" si="4" ref="F24:N24">SUM(F25:F25)</f>
        <v>130057</v>
      </c>
      <c r="G24" s="220">
        <f t="shared" si="4"/>
        <v>0</v>
      </c>
      <c r="H24" s="221">
        <f t="shared" si="4"/>
        <v>0</v>
      </c>
      <c r="I24" s="222">
        <f t="shared" si="4"/>
        <v>290557</v>
      </c>
      <c r="J24" s="220">
        <f t="shared" si="4"/>
        <v>0</v>
      </c>
      <c r="K24" s="221">
        <f t="shared" si="4"/>
        <v>0</v>
      </c>
      <c r="L24" s="222">
        <f t="shared" si="4"/>
        <v>305157</v>
      </c>
      <c r="M24" s="223">
        <f t="shared" si="4"/>
        <v>0</v>
      </c>
      <c r="N24" s="498">
        <f t="shared" si="4"/>
        <v>0</v>
      </c>
      <c r="O24" s="492"/>
    </row>
    <row r="25" spans="1:15" ht="18" customHeight="1">
      <c r="A25" s="499" t="s">
        <v>229</v>
      </c>
      <c r="B25" s="483"/>
      <c r="C25" s="483"/>
      <c r="D25" s="492"/>
      <c r="E25" s="491"/>
      <c r="F25" s="1019">
        <v>130057</v>
      </c>
      <c r="G25" s="1020">
        <v>0</v>
      </c>
      <c r="H25" s="1021">
        <v>0</v>
      </c>
      <c r="I25" s="1022">
        <v>290557</v>
      </c>
      <c r="J25" s="1020">
        <v>0</v>
      </c>
      <c r="K25" s="1021">
        <v>0</v>
      </c>
      <c r="L25" s="1022">
        <v>305157</v>
      </c>
      <c r="M25" s="1023">
        <v>0</v>
      </c>
      <c r="N25" s="502">
        <v>0</v>
      </c>
      <c r="O25" s="492"/>
    </row>
    <row r="26" spans="1:15" ht="18" customHeight="1">
      <c r="A26" s="499"/>
      <c r="B26" s="483"/>
      <c r="C26" s="483"/>
      <c r="D26" s="492"/>
      <c r="E26" s="491"/>
      <c r="F26" s="508"/>
      <c r="G26" s="508"/>
      <c r="H26" s="509"/>
      <c r="I26" s="487"/>
      <c r="J26" s="508"/>
      <c r="K26" s="509"/>
      <c r="L26" s="487"/>
      <c r="M26" s="510"/>
      <c r="N26" s="510"/>
      <c r="O26" s="492"/>
    </row>
    <row r="27" spans="1:15" ht="18" customHeight="1">
      <c r="A27" s="228" t="s">
        <v>162</v>
      </c>
      <c r="B27" s="483"/>
      <c r="C27" s="483"/>
      <c r="D27" s="492"/>
      <c r="E27" s="491"/>
      <c r="F27" s="229">
        <f aca="true" t="shared" si="5" ref="F27:N27">SUM(F28:F30)</f>
        <v>130057</v>
      </c>
      <c r="G27" s="229">
        <f t="shared" si="5"/>
        <v>0</v>
      </c>
      <c r="H27" s="230">
        <f t="shared" si="5"/>
        <v>0</v>
      </c>
      <c r="I27" s="231">
        <f t="shared" si="5"/>
        <v>290557</v>
      </c>
      <c r="J27" s="229">
        <f t="shared" si="5"/>
        <v>0</v>
      </c>
      <c r="K27" s="230">
        <f t="shared" si="5"/>
        <v>0</v>
      </c>
      <c r="L27" s="231">
        <f t="shared" si="5"/>
        <v>305157</v>
      </c>
      <c r="M27" s="232">
        <f t="shared" si="5"/>
        <v>0</v>
      </c>
      <c r="N27" s="511">
        <f t="shared" si="5"/>
        <v>0</v>
      </c>
      <c r="O27" s="492"/>
    </row>
    <row r="28" spans="1:15" ht="18" customHeight="1">
      <c r="A28" s="233" t="s">
        <v>25</v>
      </c>
      <c r="B28" s="483"/>
      <c r="C28" s="483"/>
      <c r="D28" s="492"/>
      <c r="E28" s="491"/>
      <c r="F28" s="500">
        <v>64057</v>
      </c>
      <c r="G28" s="234">
        <v>0</v>
      </c>
      <c r="H28" s="513">
        <v>0</v>
      </c>
      <c r="I28" s="501">
        <v>158557</v>
      </c>
      <c r="J28" s="234">
        <v>0</v>
      </c>
      <c r="K28" s="513">
        <v>0</v>
      </c>
      <c r="L28" s="501">
        <v>166557</v>
      </c>
      <c r="M28" s="224">
        <v>0</v>
      </c>
      <c r="N28" s="502">
        <v>0</v>
      </c>
      <c r="O28" s="492"/>
    </row>
    <row r="29" spans="1:15" ht="18" customHeight="1">
      <c r="A29" s="233" t="s">
        <v>28</v>
      </c>
      <c r="B29" s="483"/>
      <c r="C29" s="483"/>
      <c r="D29" s="492"/>
      <c r="E29" s="491"/>
      <c r="F29" s="503">
        <v>0</v>
      </c>
      <c r="G29" s="227">
        <v>0</v>
      </c>
      <c r="H29" s="509">
        <v>0</v>
      </c>
      <c r="I29" s="487">
        <v>0</v>
      </c>
      <c r="J29" s="227">
        <v>0</v>
      </c>
      <c r="K29" s="509">
        <v>0</v>
      </c>
      <c r="L29" s="487">
        <v>0</v>
      </c>
      <c r="M29" s="225">
        <v>0</v>
      </c>
      <c r="N29" s="504">
        <v>0</v>
      </c>
      <c r="O29" s="492"/>
    </row>
    <row r="30" spans="1:15" ht="18" customHeight="1">
      <c r="A30" s="233" t="s">
        <v>53</v>
      </c>
      <c r="B30" s="483"/>
      <c r="C30" s="483"/>
      <c r="D30" s="492"/>
      <c r="E30" s="491"/>
      <c r="F30" s="505">
        <v>66000</v>
      </c>
      <c r="G30" s="235">
        <v>0</v>
      </c>
      <c r="H30" s="514">
        <v>0</v>
      </c>
      <c r="I30" s="506">
        <v>132000</v>
      </c>
      <c r="J30" s="235">
        <v>0</v>
      </c>
      <c r="K30" s="514">
        <v>0</v>
      </c>
      <c r="L30" s="506">
        <v>138600</v>
      </c>
      <c r="M30" s="226">
        <v>0</v>
      </c>
      <c r="N30" s="507">
        <v>0</v>
      </c>
      <c r="O30" s="492"/>
    </row>
    <row r="31" spans="1:15" ht="18" customHeight="1">
      <c r="A31" s="228" t="s">
        <v>163</v>
      </c>
      <c r="B31" s="483"/>
      <c r="C31" s="483"/>
      <c r="D31" s="492"/>
      <c r="E31" s="491"/>
      <c r="F31" s="229">
        <f aca="true" t="shared" si="6" ref="F31:N31">SUM(F32:F33)</f>
        <v>0</v>
      </c>
      <c r="G31" s="229">
        <f t="shared" si="6"/>
        <v>0</v>
      </c>
      <c r="H31" s="230">
        <f t="shared" si="6"/>
        <v>0</v>
      </c>
      <c r="I31" s="231">
        <f t="shared" si="6"/>
        <v>0</v>
      </c>
      <c r="J31" s="229">
        <f t="shared" si="6"/>
        <v>0</v>
      </c>
      <c r="K31" s="230">
        <f t="shared" si="6"/>
        <v>0</v>
      </c>
      <c r="L31" s="231">
        <f t="shared" si="6"/>
        <v>0</v>
      </c>
      <c r="M31" s="232">
        <f t="shared" si="6"/>
        <v>0</v>
      </c>
      <c r="N31" s="511">
        <f t="shared" si="6"/>
        <v>0</v>
      </c>
      <c r="O31" s="492"/>
    </row>
    <row r="32" spans="1:15" ht="18" customHeight="1">
      <c r="A32" s="233" t="s">
        <v>28</v>
      </c>
      <c r="B32" s="483"/>
      <c r="C32" s="483"/>
      <c r="D32" s="492"/>
      <c r="E32" s="491"/>
      <c r="F32" s="500">
        <v>0</v>
      </c>
      <c r="G32" s="234">
        <v>0</v>
      </c>
      <c r="H32" s="513">
        <v>0</v>
      </c>
      <c r="I32" s="501">
        <v>0</v>
      </c>
      <c r="J32" s="234">
        <v>0</v>
      </c>
      <c r="K32" s="513">
        <v>0</v>
      </c>
      <c r="L32" s="501">
        <v>0</v>
      </c>
      <c r="M32" s="224">
        <v>0</v>
      </c>
      <c r="N32" s="502">
        <v>0</v>
      </c>
      <c r="O32" s="492"/>
    </row>
    <row r="33" spans="1:15" ht="18" customHeight="1">
      <c r="A33" s="233" t="s">
        <v>164</v>
      </c>
      <c r="B33" s="483"/>
      <c r="C33" s="483"/>
      <c r="D33" s="492"/>
      <c r="E33" s="491"/>
      <c r="F33" s="505">
        <v>0</v>
      </c>
      <c r="G33" s="235">
        <v>0</v>
      </c>
      <c r="H33" s="514">
        <v>0</v>
      </c>
      <c r="I33" s="506">
        <v>0</v>
      </c>
      <c r="J33" s="235">
        <v>0</v>
      </c>
      <c r="K33" s="514">
        <v>0</v>
      </c>
      <c r="L33" s="506">
        <v>0</v>
      </c>
      <c r="M33" s="226">
        <v>0</v>
      </c>
      <c r="N33" s="507">
        <v>0</v>
      </c>
      <c r="O33" s="492"/>
    </row>
    <row r="34" spans="1:15" ht="18" customHeight="1" thickBot="1">
      <c r="A34" s="512"/>
      <c r="B34" s="483"/>
      <c r="C34" s="483"/>
      <c r="D34" s="492"/>
      <c r="E34" s="491"/>
      <c r="F34" s="508"/>
      <c r="G34" s="508"/>
      <c r="H34" s="509"/>
      <c r="I34" s="487"/>
      <c r="J34" s="508"/>
      <c r="K34" s="509"/>
      <c r="L34" s="487"/>
      <c r="M34" s="510"/>
      <c r="N34" s="510"/>
      <c r="O34" s="492"/>
    </row>
    <row r="35" spans="1:15" ht="18" customHeight="1">
      <c r="A35" s="515"/>
      <c r="B35" s="516"/>
      <c r="C35" s="516"/>
      <c r="D35" s="517"/>
      <c r="E35" s="518"/>
      <c r="F35" s="519"/>
      <c r="G35" s="519"/>
      <c r="H35" s="520"/>
      <c r="I35" s="521"/>
      <c r="J35" s="519"/>
      <c r="K35" s="520"/>
      <c r="L35" s="521"/>
      <c r="M35" s="522"/>
      <c r="N35" s="522"/>
      <c r="O35" s="517"/>
    </row>
    <row r="36" spans="1:15" ht="18" customHeight="1">
      <c r="A36" s="497" t="s">
        <v>235</v>
      </c>
      <c r="B36" s="483"/>
      <c r="C36" s="483"/>
      <c r="D36" s="492"/>
      <c r="E36" s="491"/>
      <c r="F36" s="219">
        <f aca="true" t="shared" si="7" ref="F36:N36">SUM(F37:F37)</f>
        <v>66670</v>
      </c>
      <c r="G36" s="220">
        <f t="shared" si="7"/>
        <v>0</v>
      </c>
      <c r="H36" s="221">
        <f t="shared" si="7"/>
        <v>0</v>
      </c>
      <c r="I36" s="222">
        <f t="shared" si="7"/>
        <v>69120</v>
      </c>
      <c r="J36" s="220">
        <f t="shared" si="7"/>
        <v>0</v>
      </c>
      <c r="K36" s="221">
        <f t="shared" si="7"/>
        <v>0</v>
      </c>
      <c r="L36" s="222">
        <f t="shared" si="7"/>
        <v>72440</v>
      </c>
      <c r="M36" s="223">
        <f t="shared" si="7"/>
        <v>0</v>
      </c>
      <c r="N36" s="498">
        <f t="shared" si="7"/>
        <v>0</v>
      </c>
      <c r="O36" s="492"/>
    </row>
    <row r="37" spans="1:15" ht="18" customHeight="1">
      <c r="A37" s="499" t="s">
        <v>230</v>
      </c>
      <c r="B37" s="483"/>
      <c r="C37" s="483"/>
      <c r="D37" s="492"/>
      <c r="E37" s="491"/>
      <c r="F37" s="1019">
        <v>66670</v>
      </c>
      <c r="G37" s="1020">
        <v>0</v>
      </c>
      <c r="H37" s="1021">
        <v>0</v>
      </c>
      <c r="I37" s="1022">
        <v>69120</v>
      </c>
      <c r="J37" s="1020">
        <v>0</v>
      </c>
      <c r="K37" s="1021">
        <v>0</v>
      </c>
      <c r="L37" s="1022">
        <v>72440</v>
      </c>
      <c r="M37" s="1023">
        <v>0</v>
      </c>
      <c r="N37" s="502">
        <v>0</v>
      </c>
      <c r="O37" s="492"/>
    </row>
    <row r="38" spans="1:15" ht="18" customHeight="1">
      <c r="A38" s="499"/>
      <c r="B38" s="483"/>
      <c r="C38" s="483"/>
      <c r="D38" s="492"/>
      <c r="E38" s="491"/>
      <c r="F38" s="508"/>
      <c r="G38" s="508"/>
      <c r="H38" s="509"/>
      <c r="I38" s="487"/>
      <c r="J38" s="508"/>
      <c r="K38" s="509"/>
      <c r="L38" s="487"/>
      <c r="M38" s="510"/>
      <c r="N38" s="510"/>
      <c r="O38" s="492"/>
    </row>
    <row r="39" spans="1:15" ht="18" customHeight="1">
      <c r="A39" s="228" t="s">
        <v>162</v>
      </c>
      <c r="B39" s="483"/>
      <c r="C39" s="483"/>
      <c r="D39" s="492"/>
      <c r="E39" s="491"/>
      <c r="F39" s="229">
        <f aca="true" t="shared" si="8" ref="F39:N39">SUM(F40:F42)</f>
        <v>66670</v>
      </c>
      <c r="G39" s="229">
        <f t="shared" si="8"/>
        <v>0</v>
      </c>
      <c r="H39" s="230">
        <f t="shared" si="8"/>
        <v>0</v>
      </c>
      <c r="I39" s="231">
        <f t="shared" si="8"/>
        <v>69120</v>
      </c>
      <c r="J39" s="229">
        <f t="shared" si="8"/>
        <v>0</v>
      </c>
      <c r="K39" s="230">
        <f t="shared" si="8"/>
        <v>0</v>
      </c>
      <c r="L39" s="231">
        <f t="shared" si="8"/>
        <v>72440</v>
      </c>
      <c r="M39" s="232">
        <f t="shared" si="8"/>
        <v>0</v>
      </c>
      <c r="N39" s="511">
        <f t="shared" si="8"/>
        <v>0</v>
      </c>
      <c r="O39" s="492"/>
    </row>
    <row r="40" spans="1:15" ht="18" customHeight="1">
      <c r="A40" s="233" t="s">
        <v>25</v>
      </c>
      <c r="B40" s="483"/>
      <c r="C40" s="483"/>
      <c r="D40" s="492"/>
      <c r="E40" s="491"/>
      <c r="F40" s="500">
        <v>66670</v>
      </c>
      <c r="G40" s="234">
        <v>0</v>
      </c>
      <c r="H40" s="513">
        <v>0</v>
      </c>
      <c r="I40" s="501">
        <v>69120</v>
      </c>
      <c r="J40" s="234">
        <v>0</v>
      </c>
      <c r="K40" s="513">
        <v>0</v>
      </c>
      <c r="L40" s="501">
        <v>72440</v>
      </c>
      <c r="M40" s="224">
        <v>0</v>
      </c>
      <c r="N40" s="502">
        <v>0</v>
      </c>
      <c r="O40" s="492"/>
    </row>
    <row r="41" spans="1:15" ht="18" customHeight="1">
      <c r="A41" s="233" t="s">
        <v>28</v>
      </c>
      <c r="B41" s="483"/>
      <c r="C41" s="483"/>
      <c r="D41" s="492"/>
      <c r="E41" s="491"/>
      <c r="F41" s="503">
        <v>0</v>
      </c>
      <c r="G41" s="227">
        <v>0</v>
      </c>
      <c r="H41" s="509">
        <v>0</v>
      </c>
      <c r="I41" s="487">
        <v>0</v>
      </c>
      <c r="J41" s="227">
        <v>0</v>
      </c>
      <c r="K41" s="509">
        <v>0</v>
      </c>
      <c r="L41" s="487">
        <v>0</v>
      </c>
      <c r="M41" s="225">
        <v>0</v>
      </c>
      <c r="N41" s="504">
        <v>0</v>
      </c>
      <c r="O41" s="492"/>
    </row>
    <row r="42" spans="1:15" ht="18" customHeight="1">
      <c r="A42" s="233" t="s">
        <v>53</v>
      </c>
      <c r="B42" s="483"/>
      <c r="C42" s="483"/>
      <c r="D42" s="492"/>
      <c r="E42" s="491"/>
      <c r="F42" s="505">
        <v>0</v>
      </c>
      <c r="G42" s="235">
        <v>0</v>
      </c>
      <c r="H42" s="514">
        <v>0</v>
      </c>
      <c r="I42" s="506">
        <v>0</v>
      </c>
      <c r="J42" s="235">
        <v>0</v>
      </c>
      <c r="K42" s="514">
        <v>0</v>
      </c>
      <c r="L42" s="506">
        <v>0</v>
      </c>
      <c r="M42" s="226">
        <v>0</v>
      </c>
      <c r="N42" s="507">
        <v>0</v>
      </c>
      <c r="O42" s="492"/>
    </row>
    <row r="43" spans="1:15" ht="18" customHeight="1">
      <c r="A43" s="228" t="s">
        <v>163</v>
      </c>
      <c r="B43" s="483"/>
      <c r="C43" s="483"/>
      <c r="D43" s="492"/>
      <c r="E43" s="491"/>
      <c r="F43" s="229">
        <f aca="true" t="shared" si="9" ref="F43:N43">SUM(F44:F45)</f>
        <v>0</v>
      </c>
      <c r="G43" s="229">
        <f t="shared" si="9"/>
        <v>0</v>
      </c>
      <c r="H43" s="230">
        <f t="shared" si="9"/>
        <v>0</v>
      </c>
      <c r="I43" s="231">
        <f t="shared" si="9"/>
        <v>0</v>
      </c>
      <c r="J43" s="229">
        <f t="shared" si="9"/>
        <v>0</v>
      </c>
      <c r="K43" s="230">
        <f t="shared" si="9"/>
        <v>0</v>
      </c>
      <c r="L43" s="231">
        <f t="shared" si="9"/>
        <v>0</v>
      </c>
      <c r="M43" s="232">
        <f t="shared" si="9"/>
        <v>0</v>
      </c>
      <c r="N43" s="511">
        <f t="shared" si="9"/>
        <v>0</v>
      </c>
      <c r="O43" s="492"/>
    </row>
    <row r="44" spans="1:15" ht="18" customHeight="1">
      <c r="A44" s="233" t="s">
        <v>28</v>
      </c>
      <c r="B44" s="483"/>
      <c r="C44" s="483"/>
      <c r="D44" s="492"/>
      <c r="E44" s="491"/>
      <c r="F44" s="500">
        <v>0</v>
      </c>
      <c r="G44" s="234">
        <v>0</v>
      </c>
      <c r="H44" s="513">
        <v>0</v>
      </c>
      <c r="I44" s="501">
        <v>0</v>
      </c>
      <c r="J44" s="234">
        <v>0</v>
      </c>
      <c r="K44" s="513">
        <v>0</v>
      </c>
      <c r="L44" s="501">
        <v>0</v>
      </c>
      <c r="M44" s="224">
        <v>0</v>
      </c>
      <c r="N44" s="502">
        <v>0</v>
      </c>
      <c r="O44" s="492"/>
    </row>
    <row r="45" spans="1:15" ht="18" customHeight="1">
      <c r="A45" s="233" t="s">
        <v>164</v>
      </c>
      <c r="B45" s="483"/>
      <c r="C45" s="483"/>
      <c r="D45" s="492"/>
      <c r="E45" s="491"/>
      <c r="F45" s="505">
        <v>0</v>
      </c>
      <c r="G45" s="235">
        <v>0</v>
      </c>
      <c r="H45" s="514">
        <v>0</v>
      </c>
      <c r="I45" s="506">
        <v>0</v>
      </c>
      <c r="J45" s="235">
        <v>0</v>
      </c>
      <c r="K45" s="514">
        <v>0</v>
      </c>
      <c r="L45" s="506">
        <v>0</v>
      </c>
      <c r="M45" s="226">
        <v>0</v>
      </c>
      <c r="N45" s="507">
        <v>0</v>
      </c>
      <c r="O45" s="492"/>
    </row>
    <row r="46" spans="1:15" ht="18" customHeight="1" thickBot="1">
      <c r="A46" s="512"/>
      <c r="B46" s="483"/>
      <c r="C46" s="483"/>
      <c r="D46" s="492"/>
      <c r="E46" s="491"/>
      <c r="F46" s="508"/>
      <c r="G46" s="508"/>
      <c r="H46" s="509"/>
      <c r="I46" s="487"/>
      <c r="J46" s="508"/>
      <c r="K46" s="509"/>
      <c r="L46" s="487"/>
      <c r="M46" s="510"/>
      <c r="N46" s="510"/>
      <c r="O46" s="492"/>
    </row>
    <row r="47" spans="1:15" ht="18" customHeight="1">
      <c r="A47" s="515"/>
      <c r="B47" s="516"/>
      <c r="C47" s="516"/>
      <c r="D47" s="517"/>
      <c r="E47" s="518"/>
      <c r="F47" s="519"/>
      <c r="G47" s="519"/>
      <c r="H47" s="520"/>
      <c r="I47" s="521"/>
      <c r="J47" s="519"/>
      <c r="K47" s="520"/>
      <c r="L47" s="521"/>
      <c r="M47" s="522"/>
      <c r="N47" s="522"/>
      <c r="O47" s="517"/>
    </row>
    <row r="48" spans="1:15" ht="18" customHeight="1">
      <c r="A48" s="497" t="s">
        <v>236</v>
      </c>
      <c r="B48" s="483"/>
      <c r="C48" s="483"/>
      <c r="D48" s="492"/>
      <c r="E48" s="491"/>
      <c r="F48" s="219">
        <f aca="true" t="shared" si="10" ref="F48:N48">SUM(F49:F49)</f>
        <v>0</v>
      </c>
      <c r="G48" s="220">
        <f t="shared" si="10"/>
        <v>0</v>
      </c>
      <c r="H48" s="221">
        <f t="shared" si="10"/>
        <v>0</v>
      </c>
      <c r="I48" s="222">
        <f t="shared" si="10"/>
        <v>13179</v>
      </c>
      <c r="J48" s="220">
        <f t="shared" si="10"/>
        <v>0</v>
      </c>
      <c r="K48" s="221">
        <f t="shared" si="10"/>
        <v>0</v>
      </c>
      <c r="L48" s="222">
        <f t="shared" si="10"/>
        <v>113179</v>
      </c>
      <c r="M48" s="223">
        <f t="shared" si="10"/>
        <v>0</v>
      </c>
      <c r="N48" s="498">
        <f t="shared" si="10"/>
        <v>0</v>
      </c>
      <c r="O48" s="492"/>
    </row>
    <row r="49" spans="1:15" ht="18" customHeight="1">
      <c r="A49" s="499" t="s">
        <v>231</v>
      </c>
      <c r="B49" s="483"/>
      <c r="C49" s="483"/>
      <c r="D49" s="492"/>
      <c r="E49" s="491"/>
      <c r="F49" s="1019">
        <v>0</v>
      </c>
      <c r="G49" s="1020">
        <v>0</v>
      </c>
      <c r="H49" s="1021">
        <v>0</v>
      </c>
      <c r="I49" s="1022">
        <v>13179</v>
      </c>
      <c r="J49" s="1020">
        <v>0</v>
      </c>
      <c r="K49" s="1021">
        <v>0</v>
      </c>
      <c r="L49" s="1022">
        <v>113179</v>
      </c>
      <c r="M49" s="1023">
        <v>0</v>
      </c>
      <c r="N49" s="502">
        <v>0</v>
      </c>
      <c r="O49" s="492"/>
    </row>
    <row r="50" spans="1:15" ht="18" customHeight="1">
      <c r="A50" s="499"/>
      <c r="B50" s="483"/>
      <c r="C50" s="483"/>
      <c r="D50" s="492"/>
      <c r="E50" s="491"/>
      <c r="F50" s="508"/>
      <c r="G50" s="508"/>
      <c r="H50" s="509"/>
      <c r="I50" s="487"/>
      <c r="J50" s="508"/>
      <c r="K50" s="509"/>
      <c r="L50" s="487"/>
      <c r="M50" s="510"/>
      <c r="N50" s="510"/>
      <c r="O50" s="492"/>
    </row>
    <row r="51" spans="1:15" ht="18" customHeight="1">
      <c r="A51" s="228" t="s">
        <v>162</v>
      </c>
      <c r="B51" s="483"/>
      <c r="C51" s="483"/>
      <c r="D51" s="492"/>
      <c r="E51" s="491"/>
      <c r="F51" s="229">
        <f aca="true" t="shared" si="11" ref="F51:N51">SUM(F52:F54)</f>
        <v>0</v>
      </c>
      <c r="G51" s="229">
        <f t="shared" si="11"/>
        <v>0</v>
      </c>
      <c r="H51" s="230">
        <f t="shared" si="11"/>
        <v>0</v>
      </c>
      <c r="I51" s="231">
        <f t="shared" si="11"/>
        <v>0</v>
      </c>
      <c r="J51" s="229">
        <f t="shared" si="11"/>
        <v>0</v>
      </c>
      <c r="K51" s="230">
        <f t="shared" si="11"/>
        <v>0</v>
      </c>
      <c r="L51" s="231">
        <f t="shared" si="11"/>
        <v>0</v>
      </c>
      <c r="M51" s="232">
        <f t="shared" si="11"/>
        <v>0</v>
      </c>
      <c r="N51" s="511">
        <f t="shared" si="11"/>
        <v>0</v>
      </c>
      <c r="O51" s="492"/>
    </row>
    <row r="52" spans="1:15" ht="18" customHeight="1">
      <c r="A52" s="233" t="s">
        <v>25</v>
      </c>
      <c r="B52" s="483"/>
      <c r="C52" s="483"/>
      <c r="D52" s="492"/>
      <c r="E52" s="491"/>
      <c r="F52" s="500">
        <v>0</v>
      </c>
      <c r="G52" s="234">
        <v>0</v>
      </c>
      <c r="H52" s="513">
        <v>0</v>
      </c>
      <c r="I52" s="501">
        <v>0</v>
      </c>
      <c r="J52" s="234">
        <v>0</v>
      </c>
      <c r="K52" s="513">
        <v>0</v>
      </c>
      <c r="L52" s="501">
        <v>0</v>
      </c>
      <c r="M52" s="224">
        <v>0</v>
      </c>
      <c r="N52" s="502">
        <v>0</v>
      </c>
      <c r="O52" s="492"/>
    </row>
    <row r="53" spans="1:15" ht="18" customHeight="1">
      <c r="A53" s="233" t="s">
        <v>28</v>
      </c>
      <c r="B53" s="483"/>
      <c r="C53" s="483"/>
      <c r="D53" s="492"/>
      <c r="E53" s="491"/>
      <c r="F53" s="503">
        <v>0</v>
      </c>
      <c r="G53" s="227">
        <v>0</v>
      </c>
      <c r="H53" s="509">
        <v>0</v>
      </c>
      <c r="I53" s="487">
        <v>0</v>
      </c>
      <c r="J53" s="227">
        <v>0</v>
      </c>
      <c r="K53" s="509">
        <v>0</v>
      </c>
      <c r="L53" s="487">
        <v>0</v>
      </c>
      <c r="M53" s="225">
        <v>0</v>
      </c>
      <c r="N53" s="504">
        <v>0</v>
      </c>
      <c r="O53" s="492"/>
    </row>
    <row r="54" spans="1:15" ht="18" customHeight="1">
      <c r="A54" s="233" t="s">
        <v>53</v>
      </c>
      <c r="B54" s="483"/>
      <c r="C54" s="483"/>
      <c r="D54" s="492"/>
      <c r="E54" s="491"/>
      <c r="F54" s="505">
        <v>0</v>
      </c>
      <c r="G54" s="235">
        <v>0</v>
      </c>
      <c r="H54" s="514">
        <v>0</v>
      </c>
      <c r="I54" s="506">
        <v>0</v>
      </c>
      <c r="J54" s="235">
        <v>0</v>
      </c>
      <c r="K54" s="514">
        <v>0</v>
      </c>
      <c r="L54" s="506">
        <v>0</v>
      </c>
      <c r="M54" s="226">
        <v>0</v>
      </c>
      <c r="N54" s="507">
        <v>0</v>
      </c>
      <c r="O54" s="492"/>
    </row>
    <row r="55" spans="1:15" ht="18" customHeight="1">
      <c r="A55" s="228" t="s">
        <v>163</v>
      </c>
      <c r="B55" s="483"/>
      <c r="C55" s="483"/>
      <c r="D55" s="492"/>
      <c r="E55" s="491"/>
      <c r="F55" s="229">
        <f aca="true" t="shared" si="12" ref="F55:N55">SUM(F56:F57)</f>
        <v>0</v>
      </c>
      <c r="G55" s="229">
        <f t="shared" si="12"/>
        <v>0</v>
      </c>
      <c r="H55" s="230">
        <f t="shared" si="12"/>
        <v>0</v>
      </c>
      <c r="I55" s="231">
        <f t="shared" si="12"/>
        <v>113179</v>
      </c>
      <c r="J55" s="229">
        <f t="shared" si="12"/>
        <v>0</v>
      </c>
      <c r="K55" s="230">
        <f t="shared" si="12"/>
        <v>0</v>
      </c>
      <c r="L55" s="231">
        <f t="shared" si="12"/>
        <v>113179</v>
      </c>
      <c r="M55" s="232">
        <f t="shared" si="12"/>
        <v>0</v>
      </c>
      <c r="N55" s="511">
        <f t="shared" si="12"/>
        <v>0</v>
      </c>
      <c r="O55" s="492"/>
    </row>
    <row r="56" spans="1:15" ht="18" customHeight="1">
      <c r="A56" s="233" t="s">
        <v>28</v>
      </c>
      <c r="B56" s="483"/>
      <c r="C56" s="483"/>
      <c r="D56" s="492"/>
      <c r="E56" s="491"/>
      <c r="F56" s="500">
        <v>0</v>
      </c>
      <c r="G56" s="234">
        <v>0</v>
      </c>
      <c r="H56" s="513">
        <v>0</v>
      </c>
      <c r="I56" s="501">
        <v>113179</v>
      </c>
      <c r="J56" s="234">
        <v>0</v>
      </c>
      <c r="K56" s="513">
        <v>0</v>
      </c>
      <c r="L56" s="501">
        <v>113179</v>
      </c>
      <c r="M56" s="224">
        <v>0</v>
      </c>
      <c r="N56" s="502">
        <v>0</v>
      </c>
      <c r="O56" s="492"/>
    </row>
    <row r="57" spans="1:15" ht="18" customHeight="1">
      <c r="A57" s="233" t="s">
        <v>164</v>
      </c>
      <c r="B57" s="483"/>
      <c r="C57" s="483"/>
      <c r="D57" s="492"/>
      <c r="E57" s="491"/>
      <c r="F57" s="505">
        <v>0</v>
      </c>
      <c r="G57" s="235">
        <v>0</v>
      </c>
      <c r="H57" s="514">
        <v>0</v>
      </c>
      <c r="I57" s="506">
        <v>0</v>
      </c>
      <c r="J57" s="235">
        <v>0</v>
      </c>
      <c r="K57" s="514">
        <v>0</v>
      </c>
      <c r="L57" s="506">
        <v>0</v>
      </c>
      <c r="M57" s="226">
        <v>0</v>
      </c>
      <c r="N57" s="507">
        <v>0</v>
      </c>
      <c r="O57" s="492"/>
    </row>
    <row r="58" spans="1:15" ht="18" customHeight="1" thickBot="1">
      <c r="A58" s="491"/>
      <c r="B58" s="483"/>
      <c r="C58" s="483"/>
      <c r="D58" s="492"/>
      <c r="E58" s="491"/>
      <c r="F58" s="508"/>
      <c r="G58" s="508"/>
      <c r="H58" s="509"/>
      <c r="I58" s="487"/>
      <c r="J58" s="508"/>
      <c r="K58" s="509"/>
      <c r="L58" s="487"/>
      <c r="M58" s="510"/>
      <c r="N58" s="510"/>
      <c r="O58" s="492"/>
    </row>
    <row r="59" spans="1:15" ht="30" customHeight="1" thickBot="1">
      <c r="A59" s="236" t="s">
        <v>167</v>
      </c>
      <c r="B59" s="237"/>
      <c r="C59" s="237"/>
      <c r="D59" s="238"/>
      <c r="E59" s="239"/>
      <c r="F59" s="240">
        <f aca="true" t="shared" si="13" ref="F59:M59">+F24+F12+F48+F36</f>
        <v>289557</v>
      </c>
      <c r="G59" s="240">
        <f t="shared" si="13"/>
        <v>0</v>
      </c>
      <c r="H59" s="241">
        <f t="shared" si="13"/>
        <v>0</v>
      </c>
      <c r="I59" s="242">
        <f t="shared" si="13"/>
        <v>518176</v>
      </c>
      <c r="J59" s="240">
        <f t="shared" si="13"/>
        <v>0</v>
      </c>
      <c r="K59" s="241">
        <f t="shared" si="13"/>
        <v>0</v>
      </c>
      <c r="L59" s="242">
        <f t="shared" si="13"/>
        <v>696936</v>
      </c>
      <c r="M59" s="243">
        <f t="shared" si="13"/>
        <v>0</v>
      </c>
      <c r="N59" s="524">
        <f>N12+N24</f>
        <v>0</v>
      </c>
      <c r="O59" s="523"/>
    </row>
    <row r="60" ht="18.75" thickTop="1"/>
  </sheetData>
  <mergeCells count="4">
    <mergeCell ref="A9:D9"/>
    <mergeCell ref="A5:D5"/>
    <mergeCell ref="A3:O3"/>
    <mergeCell ref="A1:O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46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75"/>
  <sheetViews>
    <sheetView tabSelected="1" zoomScale="75" zoomScaleNormal="75" workbookViewId="0" topLeftCell="A1">
      <selection activeCell="O73" sqref="O73"/>
    </sheetView>
  </sheetViews>
  <sheetFormatPr defaultColWidth="9.140625" defaultRowHeight="12.75"/>
  <cols>
    <col min="1" max="1" width="2.7109375" style="959" customWidth="1"/>
    <col min="2" max="2" width="43.7109375" style="111" customWidth="1"/>
    <col min="3" max="3" width="1.7109375" style="111" customWidth="1"/>
    <col min="4" max="6" width="15.7109375" style="111" customWidth="1"/>
    <col min="7" max="7" width="15.7109375" style="173" customWidth="1"/>
    <col min="8" max="16" width="15.7109375" style="111" customWidth="1"/>
    <col min="17" max="17" width="1.7109375" style="111" customWidth="1"/>
    <col min="18" max="18" width="2.7109375" style="111" customWidth="1"/>
    <col min="19" max="19" width="11.7109375" style="111" customWidth="1"/>
    <col min="20" max="20" width="11.7109375" style="173" customWidth="1"/>
    <col min="21" max="16384" width="10.28125" style="111" customWidth="1"/>
  </cols>
  <sheetData>
    <row r="1" spans="1:17" ht="24.75">
      <c r="A1" s="1" t="str">
        <f>'Schedule 1 '!A1</f>
        <v>VOTE:  21  DEFENCE</v>
      </c>
      <c r="B1" s="916"/>
      <c r="C1" s="916"/>
      <c r="D1" s="916"/>
      <c r="E1" s="916"/>
      <c r="F1" s="916"/>
      <c r="G1" s="917"/>
      <c r="H1" s="916"/>
      <c r="I1" s="916"/>
      <c r="J1" s="916"/>
      <c r="K1" s="916"/>
      <c r="L1" s="916"/>
      <c r="M1" s="916"/>
      <c r="N1" s="916"/>
      <c r="O1" s="916"/>
      <c r="P1" s="916"/>
      <c r="Q1" s="916"/>
    </row>
    <row r="2" spans="1:191" ht="18" customHeight="1">
      <c r="A2" s="172"/>
      <c r="B2" s="119"/>
      <c r="C2" s="119"/>
      <c r="D2" s="119"/>
      <c r="E2" s="119"/>
      <c r="F2" s="119"/>
      <c r="G2" s="244"/>
      <c r="H2" s="119"/>
      <c r="I2" s="119"/>
      <c r="J2" s="119"/>
      <c r="K2" s="119"/>
      <c r="L2" s="119"/>
      <c r="M2" s="119"/>
      <c r="N2" s="119"/>
      <c r="O2" s="119"/>
      <c r="P2" s="119"/>
      <c r="Q2" s="245" t="s">
        <v>21</v>
      </c>
      <c r="R2" s="119"/>
      <c r="S2" s="119"/>
      <c r="T2" s="245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</row>
    <row r="3" spans="1:191" ht="21.75" customHeight="1">
      <c r="A3" s="246" t="s">
        <v>65</v>
      </c>
      <c r="B3" s="918"/>
      <c r="C3" s="918"/>
      <c r="D3" s="918"/>
      <c r="E3" s="918"/>
      <c r="F3" s="918"/>
      <c r="G3" s="919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20"/>
      <c r="S3" s="918"/>
      <c r="T3" s="919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920"/>
      <c r="AM3" s="920"/>
      <c r="AN3" s="920"/>
      <c r="AO3" s="920"/>
      <c r="AP3" s="920"/>
      <c r="AQ3" s="920"/>
      <c r="AR3" s="920"/>
      <c r="AS3" s="920"/>
      <c r="AT3" s="920"/>
      <c r="AU3" s="920"/>
      <c r="AV3" s="920"/>
      <c r="AW3" s="920"/>
      <c r="AX3" s="920"/>
      <c r="AY3" s="920"/>
      <c r="AZ3" s="920"/>
      <c r="BA3" s="920"/>
      <c r="BB3" s="920"/>
      <c r="BC3" s="920"/>
      <c r="BD3" s="920"/>
      <c r="BE3" s="920"/>
      <c r="BF3" s="920"/>
      <c r="BG3" s="920"/>
      <c r="BH3" s="920"/>
      <c r="BI3" s="920"/>
      <c r="BJ3" s="920"/>
      <c r="BK3" s="920"/>
      <c r="BL3" s="920"/>
      <c r="BM3" s="920"/>
      <c r="BN3" s="920"/>
      <c r="BO3" s="920"/>
      <c r="BP3" s="920"/>
      <c r="BQ3" s="920"/>
      <c r="BR3" s="920"/>
      <c r="BS3" s="920"/>
      <c r="BT3" s="920"/>
      <c r="BU3" s="920"/>
      <c r="BV3" s="920"/>
      <c r="BW3" s="920"/>
      <c r="BX3" s="920"/>
      <c r="BY3" s="920"/>
      <c r="BZ3" s="920"/>
      <c r="CA3" s="920"/>
      <c r="CB3" s="920"/>
      <c r="CC3" s="920"/>
      <c r="CD3" s="920"/>
      <c r="CE3" s="920"/>
      <c r="CF3" s="920"/>
      <c r="CG3" s="920"/>
      <c r="CH3" s="920"/>
      <c r="CI3" s="920"/>
      <c r="CJ3" s="920"/>
      <c r="CK3" s="920"/>
      <c r="CL3" s="920"/>
      <c r="CM3" s="920"/>
      <c r="CN3" s="920"/>
      <c r="CO3" s="920"/>
      <c r="CP3" s="920"/>
      <c r="CQ3" s="920"/>
      <c r="CR3" s="920"/>
      <c r="CS3" s="920"/>
      <c r="CT3" s="920"/>
      <c r="CU3" s="920"/>
      <c r="CV3" s="920"/>
      <c r="CW3" s="920"/>
      <c r="CX3" s="920"/>
      <c r="CY3" s="920"/>
      <c r="CZ3" s="920"/>
      <c r="DA3" s="920"/>
      <c r="DB3" s="920"/>
      <c r="DC3" s="920"/>
      <c r="DD3" s="920"/>
      <c r="DE3" s="920"/>
      <c r="DF3" s="920"/>
      <c r="DG3" s="920"/>
      <c r="DH3" s="920"/>
      <c r="DI3" s="920"/>
      <c r="DJ3" s="920"/>
      <c r="DK3" s="920"/>
      <c r="DL3" s="920"/>
      <c r="DM3" s="920"/>
      <c r="DN3" s="920"/>
      <c r="DO3" s="920"/>
      <c r="DP3" s="920"/>
      <c r="DQ3" s="920"/>
      <c r="DR3" s="920"/>
      <c r="DS3" s="920"/>
      <c r="DT3" s="920"/>
      <c r="DU3" s="920"/>
      <c r="DV3" s="920"/>
      <c r="DW3" s="920"/>
      <c r="DX3" s="920"/>
      <c r="DY3" s="920"/>
      <c r="DZ3" s="920"/>
      <c r="EA3" s="920"/>
      <c r="EB3" s="920"/>
      <c r="EC3" s="920"/>
      <c r="ED3" s="920"/>
      <c r="EE3" s="920"/>
      <c r="EF3" s="920"/>
      <c r="EG3" s="920"/>
      <c r="EH3" s="920"/>
      <c r="EI3" s="920"/>
      <c r="EJ3" s="920"/>
      <c r="EK3" s="920"/>
      <c r="EL3" s="920"/>
      <c r="EM3" s="920"/>
      <c r="EN3" s="920"/>
      <c r="EO3" s="920"/>
      <c r="EP3" s="920"/>
      <c r="EQ3" s="920"/>
      <c r="ER3" s="920"/>
      <c r="ES3" s="920"/>
      <c r="ET3" s="920"/>
      <c r="EU3" s="920"/>
      <c r="EV3" s="920"/>
      <c r="EW3" s="920"/>
      <c r="EX3" s="920"/>
      <c r="EY3" s="920"/>
      <c r="EZ3" s="920"/>
      <c r="FA3" s="920"/>
      <c r="FB3" s="920"/>
      <c r="FC3" s="920"/>
      <c r="FD3" s="920"/>
      <c r="FE3" s="920"/>
      <c r="FF3" s="920"/>
      <c r="FG3" s="920"/>
      <c r="FH3" s="920"/>
      <c r="FI3" s="920"/>
      <c r="FJ3" s="920"/>
      <c r="FK3" s="920"/>
      <c r="FL3" s="920"/>
      <c r="FM3" s="920"/>
      <c r="FN3" s="920"/>
      <c r="FO3" s="920"/>
      <c r="FP3" s="920"/>
      <c r="FQ3" s="920"/>
      <c r="FR3" s="920"/>
      <c r="FS3" s="920"/>
      <c r="FT3" s="920"/>
      <c r="FU3" s="920"/>
      <c r="FV3" s="920"/>
      <c r="FW3" s="920"/>
      <c r="FX3" s="920"/>
      <c r="FY3" s="920"/>
      <c r="FZ3" s="920"/>
      <c r="GA3" s="920"/>
      <c r="GB3" s="920"/>
      <c r="GC3" s="920"/>
      <c r="GD3" s="920"/>
      <c r="GE3" s="920"/>
      <c r="GF3" s="920"/>
      <c r="GG3" s="920"/>
      <c r="GH3" s="920"/>
      <c r="GI3" s="920"/>
    </row>
    <row r="4" spans="1:19" ht="18" customHeight="1" thickBot="1">
      <c r="A4" s="833"/>
      <c r="B4" s="834"/>
      <c r="C4" s="834"/>
      <c r="D4" s="173"/>
      <c r="E4" s="173"/>
      <c r="F4" s="173"/>
      <c r="H4" s="173"/>
      <c r="I4" s="173"/>
      <c r="J4" s="173"/>
      <c r="K4" s="173"/>
      <c r="L4" s="173"/>
      <c r="M4" s="173"/>
      <c r="N4" s="173"/>
      <c r="O4" s="173"/>
      <c r="P4" s="173"/>
      <c r="S4" s="173"/>
    </row>
    <row r="5" spans="1:20" s="12" customFormat="1" ht="30" customHeight="1" thickBot="1" thickTop="1">
      <c r="A5" s="8"/>
      <c r="B5" s="9"/>
      <c r="C5" s="10"/>
      <c r="D5" s="1032" t="s">
        <v>138</v>
      </c>
      <c r="E5" s="1032"/>
      <c r="F5" s="1033"/>
      <c r="G5" s="11"/>
      <c r="H5" s="1034" t="s">
        <v>7</v>
      </c>
      <c r="I5" s="1035"/>
      <c r="J5" s="1035"/>
      <c r="K5" s="1035"/>
      <c r="L5" s="1035"/>
      <c r="M5" s="1035"/>
      <c r="N5" s="1035"/>
      <c r="O5" s="1035"/>
      <c r="P5" s="1035"/>
      <c r="Q5" s="1036"/>
      <c r="S5" s="13"/>
      <c r="T5" s="14"/>
    </row>
    <row r="6" spans="1:20" s="12" customFormat="1" ht="30" customHeight="1" thickBot="1">
      <c r="A6" s="15"/>
      <c r="B6" s="16"/>
      <c r="C6" s="17"/>
      <c r="D6" s="18" t="s">
        <v>105</v>
      </c>
      <c r="E6" s="19" t="s">
        <v>0</v>
      </c>
      <c r="F6" s="19" t="s">
        <v>1</v>
      </c>
      <c r="G6" s="20" t="s">
        <v>2</v>
      </c>
      <c r="H6" s="21" t="s">
        <v>3</v>
      </c>
      <c r="I6" s="22"/>
      <c r="J6" s="23"/>
      <c r="K6" s="21" t="s">
        <v>15</v>
      </c>
      <c r="L6" s="22"/>
      <c r="M6" s="24"/>
      <c r="N6" s="25" t="s">
        <v>71</v>
      </c>
      <c r="O6" s="26"/>
      <c r="P6" s="27"/>
      <c r="Q6" s="28"/>
      <c r="S6" s="29"/>
      <c r="T6" s="30"/>
    </row>
    <row r="7" spans="1:20" s="12" customFormat="1" ht="19.5" customHeight="1">
      <c r="A7" s="15"/>
      <c r="B7" s="16"/>
      <c r="C7" s="33"/>
      <c r="D7" s="34" t="s">
        <v>61</v>
      </c>
      <c r="E7" s="34" t="s">
        <v>61</v>
      </c>
      <c r="F7" s="35" t="s">
        <v>82</v>
      </c>
      <c r="G7" s="36" t="s">
        <v>7</v>
      </c>
      <c r="H7" s="37" t="s">
        <v>7</v>
      </c>
      <c r="I7" s="38" t="s">
        <v>8</v>
      </c>
      <c r="J7" s="38" t="s">
        <v>9</v>
      </c>
      <c r="K7" s="37" t="s">
        <v>7</v>
      </c>
      <c r="L7" s="38" t="s">
        <v>8</v>
      </c>
      <c r="M7" s="39" t="s">
        <v>9</v>
      </c>
      <c r="N7" s="37" t="s">
        <v>7</v>
      </c>
      <c r="O7" s="38" t="s">
        <v>8</v>
      </c>
      <c r="P7" s="40" t="s">
        <v>9</v>
      </c>
      <c r="Q7" s="41"/>
      <c r="S7" s="42" t="s">
        <v>10</v>
      </c>
      <c r="T7" s="43" t="s">
        <v>10</v>
      </c>
    </row>
    <row r="8" spans="1:20" s="12" customFormat="1" ht="19.5" customHeight="1">
      <c r="A8" s="31" t="s">
        <v>22</v>
      </c>
      <c r="B8" s="32"/>
      <c r="C8" s="33"/>
      <c r="D8" s="34"/>
      <c r="E8" s="34"/>
      <c r="F8" s="46" t="s">
        <v>83</v>
      </c>
      <c r="G8" s="36" t="s">
        <v>13</v>
      </c>
      <c r="H8" s="37" t="s">
        <v>13</v>
      </c>
      <c r="I8" s="38" t="s">
        <v>11</v>
      </c>
      <c r="J8" s="38" t="s">
        <v>12</v>
      </c>
      <c r="K8" s="37" t="s">
        <v>13</v>
      </c>
      <c r="L8" s="38" t="s">
        <v>11</v>
      </c>
      <c r="M8" s="39" t="s">
        <v>12</v>
      </c>
      <c r="N8" s="37" t="s">
        <v>13</v>
      </c>
      <c r="O8" s="38" t="s">
        <v>11</v>
      </c>
      <c r="P8" s="46" t="s">
        <v>12</v>
      </c>
      <c r="Q8" s="47"/>
      <c r="S8" s="29" t="s">
        <v>105</v>
      </c>
      <c r="T8" s="48" t="s">
        <v>2</v>
      </c>
    </row>
    <row r="9" spans="1:20" s="12" customFormat="1" ht="19.5" customHeight="1">
      <c r="A9" s="15"/>
      <c r="B9" s="16"/>
      <c r="C9" s="33"/>
      <c r="D9" s="34"/>
      <c r="E9" s="34"/>
      <c r="F9" s="46" t="s">
        <v>62</v>
      </c>
      <c r="G9" s="36" t="s">
        <v>58</v>
      </c>
      <c r="H9" s="49" t="s">
        <v>58</v>
      </c>
      <c r="I9" s="38" t="s">
        <v>13</v>
      </c>
      <c r="J9" s="38" t="s">
        <v>13</v>
      </c>
      <c r="K9" s="49" t="s">
        <v>58</v>
      </c>
      <c r="L9" s="38" t="s">
        <v>13</v>
      </c>
      <c r="M9" s="39" t="s">
        <v>13</v>
      </c>
      <c r="N9" s="37" t="s">
        <v>136</v>
      </c>
      <c r="O9" s="38" t="s">
        <v>13</v>
      </c>
      <c r="P9" s="46" t="s">
        <v>13</v>
      </c>
      <c r="Q9" s="50"/>
      <c r="S9" s="42" t="s">
        <v>16</v>
      </c>
      <c r="T9" s="43" t="s">
        <v>16</v>
      </c>
    </row>
    <row r="10" spans="1:20" s="12" customFormat="1" ht="19.5" customHeight="1">
      <c r="A10" s="247"/>
      <c r="B10" s="248"/>
      <c r="C10" s="33"/>
      <c r="D10" s="51"/>
      <c r="E10" s="51"/>
      <c r="F10" s="46" t="s">
        <v>157</v>
      </c>
      <c r="G10" s="52"/>
      <c r="H10" s="49"/>
      <c r="I10" s="38"/>
      <c r="J10" s="38"/>
      <c r="K10" s="49"/>
      <c r="L10" s="38"/>
      <c r="M10" s="39"/>
      <c r="N10" s="53" t="s">
        <v>63</v>
      </c>
      <c r="O10" s="38"/>
      <c r="P10" s="46"/>
      <c r="Q10" s="50"/>
      <c r="S10" s="54" t="s">
        <v>2</v>
      </c>
      <c r="T10" s="55" t="s">
        <v>71</v>
      </c>
    </row>
    <row r="11" spans="1:20" s="68" customFormat="1" ht="18" customHeight="1" thickBot="1">
      <c r="A11" s="56"/>
      <c r="B11" s="57">
        <v>-1</v>
      </c>
      <c r="C11" s="58"/>
      <c r="D11" s="59">
        <f>B11-1</f>
        <v>-2</v>
      </c>
      <c r="E11" s="59">
        <f>+D11-1</f>
        <v>-3</v>
      </c>
      <c r="F11" s="60">
        <f aca="true" t="shared" si="0" ref="F11:P11">E11-1</f>
        <v>-4</v>
      </c>
      <c r="G11" s="61">
        <f>F11-1</f>
        <v>-5</v>
      </c>
      <c r="H11" s="62">
        <f>G11-1</f>
        <v>-6</v>
      </c>
      <c r="I11" s="63">
        <f>H11-1</f>
        <v>-7</v>
      </c>
      <c r="J11" s="63">
        <f>I11-1</f>
        <v>-8</v>
      </c>
      <c r="K11" s="64">
        <f>J11-1</f>
        <v>-9</v>
      </c>
      <c r="L11" s="65">
        <f t="shared" si="0"/>
        <v>-10</v>
      </c>
      <c r="M11" s="66">
        <f t="shared" si="0"/>
        <v>-11</v>
      </c>
      <c r="N11" s="64">
        <f>M11-1</f>
        <v>-12</v>
      </c>
      <c r="O11" s="65">
        <f t="shared" si="0"/>
        <v>-13</v>
      </c>
      <c r="P11" s="60">
        <f t="shared" si="0"/>
        <v>-14</v>
      </c>
      <c r="Q11" s="67"/>
      <c r="S11" s="62">
        <f>P11-1</f>
        <v>-15</v>
      </c>
      <c r="T11" s="69">
        <f>S11-1</f>
        <v>-16</v>
      </c>
    </row>
    <row r="12" spans="1:20" s="2" customFormat="1" ht="18" customHeight="1">
      <c r="A12" s="70"/>
      <c r="B12" s="71"/>
      <c r="C12" s="72"/>
      <c r="D12" s="73" t="s">
        <v>6</v>
      </c>
      <c r="E12" s="73" t="s">
        <v>6</v>
      </c>
      <c r="F12" s="74" t="s">
        <v>6</v>
      </c>
      <c r="G12" s="75" t="s">
        <v>6</v>
      </c>
      <c r="H12" s="76" t="s">
        <v>6</v>
      </c>
      <c r="I12" s="77" t="s">
        <v>6</v>
      </c>
      <c r="J12" s="77" t="s">
        <v>6</v>
      </c>
      <c r="K12" s="76" t="s">
        <v>6</v>
      </c>
      <c r="L12" s="77" t="s">
        <v>6</v>
      </c>
      <c r="M12" s="78" t="s">
        <v>6</v>
      </c>
      <c r="N12" s="76" t="s">
        <v>6</v>
      </c>
      <c r="O12" s="77" t="s">
        <v>6</v>
      </c>
      <c r="P12" s="74" t="s">
        <v>6</v>
      </c>
      <c r="Q12" s="79"/>
      <c r="S12" s="80"/>
      <c r="T12" s="81"/>
    </row>
    <row r="13" spans="1:20" ht="21.75" customHeight="1">
      <c r="A13" s="249" t="s">
        <v>23</v>
      </c>
      <c r="B13" s="250"/>
      <c r="C13" s="251"/>
      <c r="D13" s="250"/>
      <c r="E13" s="250"/>
      <c r="F13" s="251"/>
      <c r="G13" s="252"/>
      <c r="H13" s="253"/>
      <c r="I13" s="254"/>
      <c r="J13" s="254"/>
      <c r="K13" s="253"/>
      <c r="L13" s="254"/>
      <c r="M13" s="255"/>
      <c r="N13" s="253"/>
      <c r="O13" s="254"/>
      <c r="P13" s="251"/>
      <c r="Q13" s="214"/>
      <c r="S13" s="256"/>
      <c r="T13" s="257"/>
    </row>
    <row r="14" spans="1:20" s="244" customFormat="1" ht="18" customHeight="1" thickBot="1">
      <c r="A14" s="90" t="s">
        <v>24</v>
      </c>
      <c r="B14" s="112"/>
      <c r="C14" s="113"/>
      <c r="D14" s="112">
        <f>+D15+D19+D30</f>
        <v>10677841</v>
      </c>
      <c r="E14" s="112">
        <f aca="true" t="shared" si="1" ref="E14:J14">+E15+E19+E30</f>
        <v>13899833</v>
      </c>
      <c r="F14" s="244">
        <f t="shared" si="1"/>
        <v>15982124</v>
      </c>
      <c r="G14" s="114">
        <f t="shared" si="1"/>
        <v>18360764</v>
      </c>
      <c r="H14" s="115">
        <f t="shared" si="1"/>
        <v>19282777</v>
      </c>
      <c r="I14" s="112">
        <f t="shared" si="1"/>
        <v>0</v>
      </c>
      <c r="J14" s="112">
        <f t="shared" si="1"/>
        <v>19282777</v>
      </c>
      <c r="K14" s="115">
        <f aca="true" t="shared" si="2" ref="K14:P14">+K15+K19+K30</f>
        <v>19816132</v>
      </c>
      <c r="L14" s="112">
        <f t="shared" si="2"/>
        <v>0</v>
      </c>
      <c r="M14" s="118">
        <f t="shared" si="2"/>
        <v>19816132</v>
      </c>
      <c r="N14" s="115">
        <f t="shared" si="2"/>
        <v>20944286</v>
      </c>
      <c r="O14" s="112">
        <f t="shared" si="2"/>
        <v>725</v>
      </c>
      <c r="P14" s="258">
        <f t="shared" si="2"/>
        <v>20945011</v>
      </c>
      <c r="Q14" s="118"/>
      <c r="S14" s="99">
        <f>IF(D14&gt;0,((G14/D14)^(1/3))-1,"-")</f>
        <v>0.19803387908404302</v>
      </c>
      <c r="T14" s="100">
        <f>IF(G14&gt;0,((P14/G14)^(1/3))-1,"-")</f>
        <v>0.044872457454876225</v>
      </c>
    </row>
    <row r="15" spans="1:20" s="244" customFormat="1" ht="18" customHeight="1">
      <c r="A15" s="259"/>
      <c r="B15" s="260" t="s">
        <v>25</v>
      </c>
      <c r="C15" s="261"/>
      <c r="D15" s="262">
        <f>SUM(D16:D17)</f>
        <v>5725487</v>
      </c>
      <c r="E15" s="262">
        <f aca="true" t="shared" si="3" ref="E15:J15">SUM(E16:E17)</f>
        <v>5838901</v>
      </c>
      <c r="F15" s="261">
        <f t="shared" si="3"/>
        <v>6182349</v>
      </c>
      <c r="G15" s="263">
        <f t="shared" si="3"/>
        <v>6341056</v>
      </c>
      <c r="H15" s="264">
        <f t="shared" si="3"/>
        <v>6368980</v>
      </c>
      <c r="I15" s="260">
        <f t="shared" si="3"/>
        <v>236799</v>
      </c>
      <c r="J15" s="260">
        <f t="shared" si="3"/>
        <v>6605779</v>
      </c>
      <c r="K15" s="264">
        <f aca="true" t="shared" si="4" ref="K15:P15">SUM(K16:K17)</f>
        <v>6536130</v>
      </c>
      <c r="L15" s="260">
        <f t="shared" si="4"/>
        <v>248248</v>
      </c>
      <c r="M15" s="265">
        <f t="shared" si="4"/>
        <v>6784378</v>
      </c>
      <c r="N15" s="264">
        <f t="shared" si="4"/>
        <v>6928298</v>
      </c>
      <c r="O15" s="260">
        <f t="shared" si="4"/>
        <v>49360</v>
      </c>
      <c r="P15" s="261">
        <f t="shared" si="4"/>
        <v>6977658</v>
      </c>
      <c r="Q15" s="266"/>
      <c r="S15" s="267">
        <f aca="true" t="shared" si="5" ref="S15:S55">IF(D15&gt;0,((G15/D15)^(1/3))-1,"-")</f>
        <v>0.03462519937177766</v>
      </c>
      <c r="T15" s="268">
        <f>IF(G15&gt;0,((P15/G15)^(1/3))-1,"-")</f>
        <v>0.0324032512753476</v>
      </c>
    </row>
    <row r="16" spans="1:20" s="173" customFormat="1" ht="18" customHeight="1">
      <c r="A16" s="921"/>
      <c r="B16" s="269" t="s">
        <v>26</v>
      </c>
      <c r="C16" s="251"/>
      <c r="D16" s="922">
        <v>3938611</v>
      </c>
      <c r="E16" s="922">
        <v>3994880</v>
      </c>
      <c r="F16" s="533">
        <v>4389841</v>
      </c>
      <c r="G16" s="923">
        <v>4424586</v>
      </c>
      <c r="H16" s="271">
        <v>4005614</v>
      </c>
      <c r="I16" s="536">
        <f>4355305-H16</f>
        <v>349691</v>
      </c>
      <c r="J16" s="270">
        <f>H16+I16</f>
        <v>4355305</v>
      </c>
      <c r="K16" s="271">
        <v>3885971</v>
      </c>
      <c r="L16" s="536">
        <f>4314149-K16</f>
        <v>428178</v>
      </c>
      <c r="M16" s="270">
        <f>K16+L16</f>
        <v>4314149</v>
      </c>
      <c r="N16" s="1017">
        <f>ROUND(+K16*1.06,0)</f>
        <v>4119129</v>
      </c>
      <c r="O16" s="536">
        <f>4451689-N16</f>
        <v>332560</v>
      </c>
      <c r="P16" s="272">
        <f>N16+O16</f>
        <v>4451689</v>
      </c>
      <c r="Q16" s="214"/>
      <c r="S16" s="273">
        <f t="shared" si="5"/>
        <v>0.039544736444740325</v>
      </c>
      <c r="T16" s="146">
        <f>IF(G16&gt;0,((P16/G16)^(1/3))-1,"-")</f>
        <v>0.0020376932702492745</v>
      </c>
    </row>
    <row r="17" spans="1:20" s="173" customFormat="1" ht="18" customHeight="1">
      <c r="A17" s="921"/>
      <c r="B17" s="269" t="s">
        <v>27</v>
      </c>
      <c r="C17" s="251"/>
      <c r="D17" s="925">
        <v>1786876</v>
      </c>
      <c r="E17" s="925">
        <v>1844021</v>
      </c>
      <c r="F17" s="538">
        <v>1792508</v>
      </c>
      <c r="G17" s="926">
        <v>1916470</v>
      </c>
      <c r="H17" s="275">
        <v>2363366</v>
      </c>
      <c r="I17" s="541">
        <f>(6605779-J16)-H17</f>
        <v>-112892</v>
      </c>
      <c r="J17" s="276">
        <f>H17+I17</f>
        <v>2250474</v>
      </c>
      <c r="K17" s="275">
        <v>2650159</v>
      </c>
      <c r="L17" s="541">
        <f>6784378-M16-K17</f>
        <v>-179930</v>
      </c>
      <c r="M17" s="276">
        <f>K17+L17</f>
        <v>2470229</v>
      </c>
      <c r="N17" s="1018">
        <f>ROUND(+K17*1.06,0)</f>
        <v>2809169</v>
      </c>
      <c r="O17" s="541">
        <f>6977658-P16-N17</f>
        <v>-283200</v>
      </c>
      <c r="P17" s="278">
        <f>N17+O17</f>
        <v>2525969</v>
      </c>
      <c r="Q17" s="214"/>
      <c r="S17" s="279">
        <f t="shared" si="5"/>
        <v>0.02361318150747116</v>
      </c>
      <c r="T17" s="152">
        <f>IF(G17&gt;0,((P17/G17)^(1/3))-1,"-")</f>
        <v>0.09641591361786062</v>
      </c>
    </row>
    <row r="18" spans="1:20" s="173" customFormat="1" ht="7.5" customHeight="1">
      <c r="A18" s="921"/>
      <c r="B18" s="269"/>
      <c r="C18" s="251"/>
      <c r="D18" s="927"/>
      <c r="E18" s="927"/>
      <c r="F18" s="270"/>
      <c r="G18" s="923"/>
      <c r="H18" s="271"/>
      <c r="I18" s="250"/>
      <c r="J18" s="255"/>
      <c r="K18" s="271"/>
      <c r="L18" s="250"/>
      <c r="M18" s="214"/>
      <c r="N18" s="253"/>
      <c r="O18" s="250"/>
      <c r="P18" s="924"/>
      <c r="Q18" s="214"/>
      <c r="S18" s="84"/>
      <c r="T18" s="85"/>
    </row>
    <row r="19" spans="1:20" s="244" customFormat="1" ht="18" customHeight="1">
      <c r="A19" s="259"/>
      <c r="B19" s="116" t="s">
        <v>28</v>
      </c>
      <c r="C19" s="113"/>
      <c r="D19" s="112">
        <f aca="true" t="shared" si="6" ref="D19:K19">SUM(D20:D28)</f>
        <v>2005897</v>
      </c>
      <c r="E19" s="112">
        <f t="shared" si="6"/>
        <v>4903311</v>
      </c>
      <c r="F19" s="117">
        <f t="shared" si="6"/>
        <v>6041389</v>
      </c>
      <c r="G19" s="114">
        <f t="shared" si="6"/>
        <v>7843126</v>
      </c>
      <c r="H19" s="115">
        <f t="shared" si="6"/>
        <v>8712007</v>
      </c>
      <c r="I19" s="112">
        <f t="shared" si="6"/>
        <v>346123</v>
      </c>
      <c r="J19" s="117">
        <f t="shared" si="6"/>
        <v>9058130</v>
      </c>
      <c r="K19" s="115">
        <f t="shared" si="6"/>
        <v>8913432</v>
      </c>
      <c r="L19" s="112">
        <f>SUM(L20:L28)</f>
        <v>470229</v>
      </c>
      <c r="M19" s="118">
        <f>SUM(M20:M28)</f>
        <v>9383661</v>
      </c>
      <c r="N19" s="115">
        <f>SUM(N20:N28)</f>
        <v>9387424</v>
      </c>
      <c r="O19" s="112">
        <f>SUM(O20:O28)</f>
        <v>527019</v>
      </c>
      <c r="P19" s="113">
        <f>SUM(P20:P28)</f>
        <v>9914443</v>
      </c>
      <c r="Q19" s="118"/>
      <c r="S19" s="99">
        <f t="shared" si="5"/>
        <v>0.575409721435838</v>
      </c>
      <c r="T19" s="100">
        <f aca="true" t="shared" si="7" ref="T19:T28">IF(G19&gt;0,((P19/G19)^(1/3))-1,"-")</f>
        <v>0.08125063639165697</v>
      </c>
    </row>
    <row r="20" spans="1:20" s="173" customFormat="1" ht="18" customHeight="1">
      <c r="A20" s="928"/>
      <c r="B20" s="269" t="s">
        <v>29</v>
      </c>
      <c r="C20" s="251"/>
      <c r="D20" s="922">
        <v>0</v>
      </c>
      <c r="E20" s="922">
        <v>0</v>
      </c>
      <c r="F20" s="533">
        <v>0</v>
      </c>
      <c r="G20" s="923">
        <v>0</v>
      </c>
      <c r="H20" s="271">
        <v>0</v>
      </c>
      <c r="I20" s="543">
        <v>0</v>
      </c>
      <c r="J20" s="270">
        <f>H20+I20</f>
        <v>0</v>
      </c>
      <c r="K20" s="271">
        <v>0</v>
      </c>
      <c r="L20" s="543">
        <v>0</v>
      </c>
      <c r="M20" s="270">
        <f>K20+L20</f>
        <v>0</v>
      </c>
      <c r="N20" s="535">
        <f>ROUND(+K20*1.06,0)</f>
        <v>0</v>
      </c>
      <c r="O20" s="543">
        <v>0</v>
      </c>
      <c r="P20" s="272">
        <f>N20+O20</f>
        <v>0</v>
      </c>
      <c r="Q20" s="214"/>
      <c r="S20" s="273" t="str">
        <f t="shared" si="5"/>
        <v>-</v>
      </c>
      <c r="T20" s="146" t="str">
        <f t="shared" si="7"/>
        <v>-</v>
      </c>
    </row>
    <row r="21" spans="1:20" s="173" customFormat="1" ht="18" customHeight="1">
      <c r="A21" s="928"/>
      <c r="B21" s="269" t="s">
        <v>30</v>
      </c>
      <c r="C21" s="251"/>
      <c r="D21" s="929"/>
      <c r="E21" s="929"/>
      <c r="F21" s="531"/>
      <c r="G21" s="252"/>
      <c r="H21" s="253"/>
      <c r="I21" s="527"/>
      <c r="J21" s="255"/>
      <c r="K21" s="253"/>
      <c r="L21" s="527"/>
      <c r="M21" s="255"/>
      <c r="N21" s="253"/>
      <c r="O21" s="527"/>
      <c r="P21" s="280"/>
      <c r="Q21" s="214"/>
      <c r="S21" s="84"/>
      <c r="T21" s="85"/>
    </row>
    <row r="22" spans="1:20" s="173" customFormat="1" ht="18" customHeight="1">
      <c r="A22" s="928"/>
      <c r="B22" s="254" t="s">
        <v>31</v>
      </c>
      <c r="C22" s="251"/>
      <c r="D22" s="929">
        <v>0</v>
      </c>
      <c r="E22" s="929">
        <v>0</v>
      </c>
      <c r="F22" s="531">
        <v>0</v>
      </c>
      <c r="G22" s="252">
        <v>0</v>
      </c>
      <c r="H22" s="253">
        <v>0</v>
      </c>
      <c r="I22" s="527">
        <v>0</v>
      </c>
      <c r="J22" s="255">
        <f aca="true" t="shared" si="8" ref="J22:J28">H22+I22</f>
        <v>0</v>
      </c>
      <c r="K22" s="253">
        <v>0</v>
      </c>
      <c r="L22" s="527">
        <v>0</v>
      </c>
      <c r="M22" s="255">
        <f aca="true" t="shared" si="9" ref="M22:M28">K22+L22</f>
        <v>0</v>
      </c>
      <c r="N22" s="530">
        <f aca="true" t="shared" si="10" ref="N22:N28">ROUND(+K22*1.06,0)</f>
        <v>0</v>
      </c>
      <c r="O22" s="527">
        <v>0</v>
      </c>
      <c r="P22" s="280">
        <f aca="true" t="shared" si="11" ref="P22:P28">N22+O22</f>
        <v>0</v>
      </c>
      <c r="Q22" s="214"/>
      <c r="S22" s="84" t="str">
        <f t="shared" si="5"/>
        <v>-</v>
      </c>
      <c r="T22" s="85" t="str">
        <f t="shared" si="7"/>
        <v>-</v>
      </c>
    </row>
    <row r="23" spans="1:20" s="173" customFormat="1" ht="18" customHeight="1">
      <c r="A23" s="928"/>
      <c r="B23" s="254" t="s">
        <v>32</v>
      </c>
      <c r="C23" s="251"/>
      <c r="D23" s="929">
        <v>0</v>
      </c>
      <c r="E23" s="929">
        <v>0</v>
      </c>
      <c r="F23" s="531">
        <v>0</v>
      </c>
      <c r="G23" s="252">
        <v>0</v>
      </c>
      <c r="H23" s="253">
        <v>0</v>
      </c>
      <c r="I23" s="527">
        <v>0</v>
      </c>
      <c r="J23" s="255">
        <f t="shared" si="8"/>
        <v>0</v>
      </c>
      <c r="K23" s="253">
        <v>0</v>
      </c>
      <c r="L23" s="527">
        <v>0</v>
      </c>
      <c r="M23" s="255">
        <f t="shared" si="9"/>
        <v>0</v>
      </c>
      <c r="N23" s="530">
        <f t="shared" si="10"/>
        <v>0</v>
      </c>
      <c r="O23" s="527">
        <v>0</v>
      </c>
      <c r="P23" s="280">
        <f t="shared" si="11"/>
        <v>0</v>
      </c>
      <c r="Q23" s="214"/>
      <c r="S23" s="84" t="str">
        <f t="shared" si="5"/>
        <v>-</v>
      </c>
      <c r="T23" s="85" t="str">
        <f t="shared" si="7"/>
        <v>-</v>
      </c>
    </row>
    <row r="24" spans="1:20" s="173" customFormat="1" ht="18" customHeight="1">
      <c r="A24" s="928"/>
      <c r="B24" s="254" t="s">
        <v>33</v>
      </c>
      <c r="C24" s="251"/>
      <c r="D24" s="929">
        <v>2005897</v>
      </c>
      <c r="E24" s="929">
        <v>4903311</v>
      </c>
      <c r="F24" s="531">
        <v>6041389</v>
      </c>
      <c r="G24" s="252">
        <v>7843126</v>
      </c>
      <c r="H24" s="253">
        <v>8712007</v>
      </c>
      <c r="I24" s="527">
        <f>9058130-H24</f>
        <v>346123</v>
      </c>
      <c r="J24" s="255">
        <f t="shared" si="8"/>
        <v>9058130</v>
      </c>
      <c r="K24" s="253">
        <v>8913432</v>
      </c>
      <c r="L24" s="527">
        <f>9236807+234398-87545-K24+1</f>
        <v>470229</v>
      </c>
      <c r="M24" s="255">
        <f t="shared" si="9"/>
        <v>9383661</v>
      </c>
      <c r="N24" s="530">
        <f>ROUND(+K24*1.06,0)-60814</f>
        <v>9387424</v>
      </c>
      <c r="O24" s="527">
        <f>9809444+244299-139300-N24</f>
        <v>527019</v>
      </c>
      <c r="P24" s="280">
        <f t="shared" si="11"/>
        <v>9914443</v>
      </c>
      <c r="Q24" s="214"/>
      <c r="S24" s="84">
        <f t="shared" si="5"/>
        <v>0.575409721435838</v>
      </c>
      <c r="T24" s="85">
        <f t="shared" si="7"/>
        <v>0.08125063639165697</v>
      </c>
    </row>
    <row r="25" spans="1:20" s="173" customFormat="1" ht="18" customHeight="1">
      <c r="A25" s="928"/>
      <c r="B25" s="254" t="s">
        <v>34</v>
      </c>
      <c r="C25" s="251"/>
      <c r="D25" s="929">
        <v>0</v>
      </c>
      <c r="E25" s="929">
        <v>0</v>
      </c>
      <c r="F25" s="531">
        <v>0</v>
      </c>
      <c r="G25" s="252">
        <v>0</v>
      </c>
      <c r="H25" s="253">
        <v>0</v>
      </c>
      <c r="I25" s="527">
        <v>0</v>
      </c>
      <c r="J25" s="255">
        <f t="shared" si="8"/>
        <v>0</v>
      </c>
      <c r="K25" s="253">
        <v>0</v>
      </c>
      <c r="L25" s="527">
        <v>0</v>
      </c>
      <c r="M25" s="255">
        <f t="shared" si="9"/>
        <v>0</v>
      </c>
      <c r="N25" s="530">
        <f t="shared" si="10"/>
        <v>0</v>
      </c>
      <c r="O25" s="527">
        <v>0</v>
      </c>
      <c r="P25" s="280">
        <f t="shared" si="11"/>
        <v>0</v>
      </c>
      <c r="Q25" s="214"/>
      <c r="S25" s="84" t="str">
        <f t="shared" si="5"/>
        <v>-</v>
      </c>
      <c r="T25" s="85" t="str">
        <f t="shared" si="7"/>
        <v>-</v>
      </c>
    </row>
    <row r="26" spans="1:20" s="173" customFormat="1" ht="18" customHeight="1">
      <c r="A26" s="921"/>
      <c r="B26" s="254" t="s">
        <v>35</v>
      </c>
      <c r="C26" s="251"/>
      <c r="D26" s="929">
        <v>0</v>
      </c>
      <c r="E26" s="929">
        <v>0</v>
      </c>
      <c r="F26" s="531">
        <v>0</v>
      </c>
      <c r="G26" s="252">
        <v>0</v>
      </c>
      <c r="H26" s="253">
        <v>0</v>
      </c>
      <c r="I26" s="527">
        <v>0</v>
      </c>
      <c r="J26" s="255">
        <f t="shared" si="8"/>
        <v>0</v>
      </c>
      <c r="K26" s="253">
        <v>0</v>
      </c>
      <c r="L26" s="527">
        <v>0</v>
      </c>
      <c r="M26" s="255">
        <f t="shared" si="9"/>
        <v>0</v>
      </c>
      <c r="N26" s="530">
        <f t="shared" si="10"/>
        <v>0</v>
      </c>
      <c r="O26" s="527">
        <v>0</v>
      </c>
      <c r="P26" s="280">
        <f t="shared" si="11"/>
        <v>0</v>
      </c>
      <c r="Q26" s="214"/>
      <c r="S26" s="84" t="str">
        <f t="shared" si="5"/>
        <v>-</v>
      </c>
      <c r="T26" s="85" t="str">
        <f t="shared" si="7"/>
        <v>-</v>
      </c>
    </row>
    <row r="27" spans="1:20" s="173" customFormat="1" ht="18" customHeight="1">
      <c r="A27" s="928"/>
      <c r="B27" s="269" t="s">
        <v>36</v>
      </c>
      <c r="C27" s="251"/>
      <c r="D27" s="929">
        <v>0</v>
      </c>
      <c r="E27" s="929">
        <v>0</v>
      </c>
      <c r="F27" s="531">
        <v>0</v>
      </c>
      <c r="G27" s="252">
        <v>0</v>
      </c>
      <c r="H27" s="253">
        <v>0</v>
      </c>
      <c r="I27" s="527">
        <v>0</v>
      </c>
      <c r="J27" s="255">
        <f t="shared" si="8"/>
        <v>0</v>
      </c>
      <c r="K27" s="253">
        <v>0</v>
      </c>
      <c r="L27" s="527">
        <v>0</v>
      </c>
      <c r="M27" s="255">
        <f t="shared" si="9"/>
        <v>0</v>
      </c>
      <c r="N27" s="530">
        <f t="shared" si="10"/>
        <v>0</v>
      </c>
      <c r="O27" s="527">
        <v>0</v>
      </c>
      <c r="P27" s="280">
        <f t="shared" si="11"/>
        <v>0</v>
      </c>
      <c r="Q27" s="214"/>
      <c r="S27" s="84" t="str">
        <f t="shared" si="5"/>
        <v>-</v>
      </c>
      <c r="T27" s="85" t="str">
        <f t="shared" si="7"/>
        <v>-</v>
      </c>
    </row>
    <row r="28" spans="1:20" s="173" customFormat="1" ht="18" customHeight="1">
      <c r="A28" s="921"/>
      <c r="B28" s="269" t="s">
        <v>57</v>
      </c>
      <c r="C28" s="251"/>
      <c r="D28" s="925">
        <v>0</v>
      </c>
      <c r="E28" s="925">
        <v>0</v>
      </c>
      <c r="F28" s="538">
        <v>0</v>
      </c>
      <c r="G28" s="926">
        <v>0</v>
      </c>
      <c r="H28" s="275">
        <v>0</v>
      </c>
      <c r="I28" s="545">
        <v>0</v>
      </c>
      <c r="J28" s="276">
        <f t="shared" si="8"/>
        <v>0</v>
      </c>
      <c r="K28" s="275">
        <v>0</v>
      </c>
      <c r="L28" s="545">
        <v>0</v>
      </c>
      <c r="M28" s="276">
        <f t="shared" si="9"/>
        <v>0</v>
      </c>
      <c r="N28" s="1018">
        <f t="shared" si="10"/>
        <v>0</v>
      </c>
      <c r="O28" s="545">
        <v>0</v>
      </c>
      <c r="P28" s="281">
        <f t="shared" si="11"/>
        <v>0</v>
      </c>
      <c r="Q28" s="214"/>
      <c r="S28" s="279" t="str">
        <f t="shared" si="5"/>
        <v>-</v>
      </c>
      <c r="T28" s="152" t="str">
        <f t="shared" si="7"/>
        <v>-</v>
      </c>
    </row>
    <row r="29" spans="1:20" s="173" customFormat="1" ht="7.5" customHeight="1">
      <c r="A29" s="921"/>
      <c r="B29" s="269"/>
      <c r="C29" s="251"/>
      <c r="D29" s="250"/>
      <c r="E29" s="250"/>
      <c r="F29" s="255"/>
      <c r="G29" s="252"/>
      <c r="H29" s="253"/>
      <c r="I29" s="254"/>
      <c r="J29" s="255"/>
      <c r="K29" s="253"/>
      <c r="L29" s="254"/>
      <c r="M29" s="255"/>
      <c r="N29" s="253"/>
      <c r="O29" s="254"/>
      <c r="P29" s="251"/>
      <c r="Q29" s="214"/>
      <c r="S29" s="84"/>
      <c r="T29" s="85"/>
    </row>
    <row r="30" spans="1:20" s="244" customFormat="1" ht="18" customHeight="1" thickBot="1">
      <c r="A30" s="90"/>
      <c r="B30" s="282" t="s">
        <v>53</v>
      </c>
      <c r="C30" s="258"/>
      <c r="D30" s="283">
        <v>2946457</v>
      </c>
      <c r="E30" s="283">
        <v>3157621</v>
      </c>
      <c r="F30" s="960">
        <v>3758386</v>
      </c>
      <c r="G30" s="285">
        <v>4176582</v>
      </c>
      <c r="H30" s="286">
        <v>4201790</v>
      </c>
      <c r="I30" s="961">
        <f>19350548-J15-J19-H30-J32-12010</f>
        <v>-582922</v>
      </c>
      <c r="J30" s="284">
        <f>H30+I30</f>
        <v>3618868</v>
      </c>
      <c r="K30" s="286">
        <v>4366570</v>
      </c>
      <c r="L30" s="961">
        <f>19895055-M15-M19-K30-M32-12010</f>
        <v>-718477</v>
      </c>
      <c r="M30" s="284">
        <f>K30+L30</f>
        <v>3648093</v>
      </c>
      <c r="N30" s="286">
        <f>ROUND(+K30*1.06,0)</f>
        <v>4628564</v>
      </c>
      <c r="O30" s="961">
        <f>(((21015214-P15)-P19)-N30)-P32</f>
        <v>-575654</v>
      </c>
      <c r="P30" s="287">
        <f>N30+O30</f>
        <v>4052910</v>
      </c>
      <c r="Q30" s="213"/>
      <c r="S30" s="99">
        <f t="shared" si="5"/>
        <v>0.1233289935281423</v>
      </c>
      <c r="T30" s="100">
        <f>IF(G30&gt;0,((P30/G30)^(1/3))-1,"-")</f>
        <v>-0.009969329159583484</v>
      </c>
    </row>
    <row r="31" spans="1:20" s="173" customFormat="1" ht="7.5" customHeight="1">
      <c r="A31" s="90"/>
      <c r="B31" s="112"/>
      <c r="C31" s="113"/>
      <c r="D31" s="250"/>
      <c r="E31" s="250"/>
      <c r="F31" s="255"/>
      <c r="G31" s="252"/>
      <c r="H31" s="253"/>
      <c r="I31" s="254"/>
      <c r="J31" s="255"/>
      <c r="K31" s="253"/>
      <c r="L31" s="254"/>
      <c r="M31" s="255"/>
      <c r="N31" s="253"/>
      <c r="O31" s="254"/>
      <c r="P31" s="251"/>
      <c r="Q31" s="214"/>
      <c r="S31" s="288"/>
      <c r="T31" s="289"/>
    </row>
    <row r="32" spans="1:20" s="244" customFormat="1" ht="18" customHeight="1" thickBot="1">
      <c r="A32" s="90" t="s">
        <v>37</v>
      </c>
      <c r="B32" s="112"/>
      <c r="C32" s="258"/>
      <c r="D32" s="283">
        <f aca="true" t="shared" si="12" ref="D32:J32">+D33+D37+D43</f>
        <v>39426</v>
      </c>
      <c r="E32" s="283">
        <f>+E33+E37+E43</f>
        <v>32258</v>
      </c>
      <c r="F32" s="284">
        <f>+F33+F37+F43</f>
        <v>70826</v>
      </c>
      <c r="G32" s="285">
        <f>+G33+G37+G43</f>
        <v>53616</v>
      </c>
      <c r="H32" s="286">
        <f>+H33+H37+H43</f>
        <v>55761</v>
      </c>
      <c r="I32" s="283">
        <f t="shared" si="12"/>
        <v>0</v>
      </c>
      <c r="J32" s="284">
        <f t="shared" si="12"/>
        <v>55761</v>
      </c>
      <c r="K32" s="286">
        <f aca="true" t="shared" si="13" ref="K32:P32">+K33+K37+K43</f>
        <v>66913</v>
      </c>
      <c r="L32" s="283">
        <f t="shared" si="13"/>
        <v>0</v>
      </c>
      <c r="M32" s="213">
        <f t="shared" si="13"/>
        <v>66913</v>
      </c>
      <c r="N32" s="286">
        <f t="shared" si="13"/>
        <v>70928</v>
      </c>
      <c r="O32" s="283">
        <f t="shared" si="13"/>
        <v>-725</v>
      </c>
      <c r="P32" s="258">
        <f t="shared" si="13"/>
        <v>70203</v>
      </c>
      <c r="Q32" s="213"/>
      <c r="S32" s="290">
        <f t="shared" si="5"/>
        <v>0.10790850841576716</v>
      </c>
      <c r="T32" s="291">
        <f>IF(G32&gt;0,((P32/G32)^(1/3))-1,"-")</f>
        <v>0.09400780468476122</v>
      </c>
    </row>
    <row r="33" spans="1:20" s="244" customFormat="1" ht="18" customHeight="1">
      <c r="A33" s="259"/>
      <c r="B33" s="260" t="s">
        <v>28</v>
      </c>
      <c r="C33" s="113"/>
      <c r="D33" s="112">
        <f>SUM(D34:D35)</f>
        <v>0</v>
      </c>
      <c r="E33" s="112">
        <f>SUM(E34:E35)</f>
        <v>0</v>
      </c>
      <c r="F33" s="117">
        <f>SUM(F34:F35)</f>
        <v>0</v>
      </c>
      <c r="G33" s="114">
        <f>SUM(G34:G35)</f>
        <v>0</v>
      </c>
      <c r="H33" s="115">
        <f>SUM(H34:H35)</f>
        <v>0</v>
      </c>
      <c r="I33" s="112">
        <f aca="true" t="shared" si="14" ref="I33:P33">SUM(I34:I35)</f>
        <v>0</v>
      </c>
      <c r="J33" s="292">
        <f t="shared" si="14"/>
        <v>0</v>
      </c>
      <c r="K33" s="115">
        <f>SUM(K34:K35)</f>
        <v>0</v>
      </c>
      <c r="L33" s="112">
        <f t="shared" si="14"/>
        <v>0</v>
      </c>
      <c r="M33" s="265">
        <f t="shared" si="14"/>
        <v>0</v>
      </c>
      <c r="N33" s="264">
        <f t="shared" si="14"/>
        <v>0</v>
      </c>
      <c r="O33" s="112">
        <f t="shared" si="14"/>
        <v>0</v>
      </c>
      <c r="P33" s="293">
        <f t="shared" si="14"/>
        <v>0</v>
      </c>
      <c r="Q33" s="118"/>
      <c r="S33" s="99" t="str">
        <f t="shared" si="5"/>
        <v>-</v>
      </c>
      <c r="T33" s="100" t="str">
        <f>IF(G33&gt;0,((P33/G33)^(1/3))-1,"-")</f>
        <v>-</v>
      </c>
    </row>
    <row r="34" spans="1:22" s="244" customFormat="1" ht="18" customHeight="1">
      <c r="A34" s="259"/>
      <c r="B34" s="269" t="s">
        <v>30</v>
      </c>
      <c r="C34" s="251"/>
      <c r="D34" s="922">
        <v>0</v>
      </c>
      <c r="E34" s="922">
        <v>0</v>
      </c>
      <c r="F34" s="533">
        <v>0</v>
      </c>
      <c r="G34" s="923">
        <v>0</v>
      </c>
      <c r="H34" s="271">
        <v>0</v>
      </c>
      <c r="I34" s="536">
        <v>0</v>
      </c>
      <c r="J34" s="270">
        <f>H34+I34</f>
        <v>0</v>
      </c>
      <c r="K34" s="271">
        <v>0</v>
      </c>
      <c r="L34" s="536">
        <v>0</v>
      </c>
      <c r="M34" s="270">
        <f>K34+L34</f>
        <v>0</v>
      </c>
      <c r="N34" s="1017">
        <f>ROUND(+K34*1.06,0)</f>
        <v>0</v>
      </c>
      <c r="O34" s="536">
        <v>0</v>
      </c>
      <c r="P34" s="272">
        <f>N34+O34</f>
        <v>0</v>
      </c>
      <c r="Q34" s="214"/>
      <c r="R34" s="173"/>
      <c r="S34" s="104" t="str">
        <f t="shared" si="5"/>
        <v>-</v>
      </c>
      <c r="T34" s="105" t="str">
        <f>IF(G34&gt;0,((P34/G34)^(1/3))-1,"-")</f>
        <v>-</v>
      </c>
      <c r="U34" s="173"/>
      <c r="V34" s="173"/>
    </row>
    <row r="35" spans="1:22" s="244" customFormat="1" ht="18" customHeight="1">
      <c r="A35" s="259"/>
      <c r="B35" s="269" t="s">
        <v>59</v>
      </c>
      <c r="C35" s="251"/>
      <c r="D35" s="925">
        <v>0</v>
      </c>
      <c r="E35" s="925">
        <v>0</v>
      </c>
      <c r="F35" s="538">
        <v>0</v>
      </c>
      <c r="G35" s="926">
        <v>0</v>
      </c>
      <c r="H35" s="275">
        <v>0</v>
      </c>
      <c r="I35" s="545">
        <v>0</v>
      </c>
      <c r="J35" s="276">
        <f>H35+I35</f>
        <v>0</v>
      </c>
      <c r="K35" s="275">
        <v>0</v>
      </c>
      <c r="L35" s="545">
        <v>0</v>
      </c>
      <c r="M35" s="276">
        <f>K35+L35</f>
        <v>0</v>
      </c>
      <c r="N35" s="1018">
        <f>ROUND(+K35*1.06,0)</f>
        <v>0</v>
      </c>
      <c r="O35" s="545">
        <v>0</v>
      </c>
      <c r="P35" s="281">
        <f>N35+O35</f>
        <v>0</v>
      </c>
      <c r="Q35" s="214"/>
      <c r="R35" s="173"/>
      <c r="S35" s="109" t="str">
        <f t="shared" si="5"/>
        <v>-</v>
      </c>
      <c r="T35" s="110" t="str">
        <f>IF(G35&gt;0,((P35/G35)^(1/3))-1,"-")</f>
        <v>-</v>
      </c>
      <c r="U35" s="173"/>
      <c r="V35" s="173"/>
    </row>
    <row r="36" spans="1:20" s="173" customFormat="1" ht="7.5" customHeight="1">
      <c r="A36" s="921"/>
      <c r="B36" s="254"/>
      <c r="C36" s="251"/>
      <c r="D36" s="250"/>
      <c r="E36" s="250"/>
      <c r="F36" s="255"/>
      <c r="G36" s="252"/>
      <c r="H36" s="253"/>
      <c r="I36" s="251"/>
      <c r="J36" s="255"/>
      <c r="K36" s="253"/>
      <c r="L36" s="251"/>
      <c r="M36" s="255"/>
      <c r="N36" s="253"/>
      <c r="O36" s="251"/>
      <c r="P36" s="251"/>
      <c r="Q36" s="214"/>
      <c r="S36" s="84"/>
      <c r="T36" s="85"/>
    </row>
    <row r="37" spans="1:20" s="244" customFormat="1" ht="18" customHeight="1">
      <c r="A37" s="259"/>
      <c r="B37" s="116" t="s">
        <v>170</v>
      </c>
      <c r="C37" s="113"/>
      <c r="D37" s="112">
        <f aca="true" t="shared" si="15" ref="D37:K37">SUM(D38:D41)</f>
        <v>0</v>
      </c>
      <c r="E37" s="112">
        <f t="shared" si="15"/>
        <v>0</v>
      </c>
      <c r="F37" s="117">
        <f t="shared" si="15"/>
        <v>0</v>
      </c>
      <c r="G37" s="114">
        <f t="shared" si="15"/>
        <v>0</v>
      </c>
      <c r="H37" s="115">
        <f t="shared" si="15"/>
        <v>0</v>
      </c>
      <c r="I37" s="113">
        <f t="shared" si="15"/>
        <v>0</v>
      </c>
      <c r="J37" s="117">
        <f t="shared" si="15"/>
        <v>0</v>
      </c>
      <c r="K37" s="115">
        <f t="shared" si="15"/>
        <v>0</v>
      </c>
      <c r="L37" s="113">
        <f>SUM(L38:L41)</f>
        <v>0</v>
      </c>
      <c r="M37" s="117">
        <f>SUM(M38:M41)</f>
        <v>0</v>
      </c>
      <c r="N37" s="115">
        <f>SUM(N38:N41)</f>
        <v>0</v>
      </c>
      <c r="O37" s="113">
        <f>SUM(O38:O41)</f>
        <v>0</v>
      </c>
      <c r="P37" s="113">
        <f>SUM(P38:P41)</f>
        <v>0</v>
      </c>
      <c r="Q37" s="118"/>
      <c r="S37" s="99" t="str">
        <f t="shared" si="5"/>
        <v>-</v>
      </c>
      <c r="T37" s="100" t="str">
        <f>IF(G37&gt;0,((P37/G37)^(1/3))-1,"-")</f>
        <v>-</v>
      </c>
    </row>
    <row r="38" spans="1:20" s="173" customFormat="1" ht="18" customHeight="1">
      <c r="A38" s="921"/>
      <c r="B38" s="269" t="s">
        <v>38</v>
      </c>
      <c r="C38" s="251"/>
      <c r="D38" s="922">
        <v>0</v>
      </c>
      <c r="E38" s="922">
        <v>0</v>
      </c>
      <c r="F38" s="533">
        <v>0</v>
      </c>
      <c r="G38" s="923">
        <v>0</v>
      </c>
      <c r="H38" s="271">
        <v>0</v>
      </c>
      <c r="I38" s="536">
        <v>0</v>
      </c>
      <c r="J38" s="270">
        <f>H38+I38</f>
        <v>0</v>
      </c>
      <c r="K38" s="271">
        <v>0</v>
      </c>
      <c r="L38" s="536">
        <v>0</v>
      </c>
      <c r="M38" s="270">
        <f>K38+L38</f>
        <v>0</v>
      </c>
      <c r="N38" s="1017">
        <f>ROUND(+K38*1.06,0)</f>
        <v>0</v>
      </c>
      <c r="O38" s="536">
        <v>0</v>
      </c>
      <c r="P38" s="272">
        <f>N38+O38</f>
        <v>0</v>
      </c>
      <c r="Q38" s="214"/>
      <c r="S38" s="104" t="str">
        <f t="shared" si="5"/>
        <v>-</v>
      </c>
      <c r="T38" s="105" t="str">
        <f>IF(G38&gt;0,((P38/G38)^(1/3))-1,"-")</f>
        <v>-</v>
      </c>
    </row>
    <row r="39" spans="1:20" s="173" customFormat="1" ht="18" customHeight="1">
      <c r="A39" s="928"/>
      <c r="B39" s="269" t="s">
        <v>39</v>
      </c>
      <c r="C39" s="251"/>
      <c r="D39" s="929">
        <v>0</v>
      </c>
      <c r="E39" s="929">
        <v>0</v>
      </c>
      <c r="F39" s="531">
        <v>0</v>
      </c>
      <c r="G39" s="252">
        <v>0</v>
      </c>
      <c r="H39" s="253">
        <v>0</v>
      </c>
      <c r="I39" s="527">
        <v>0</v>
      </c>
      <c r="J39" s="255">
        <f>H39+I39</f>
        <v>0</v>
      </c>
      <c r="K39" s="253">
        <v>0</v>
      </c>
      <c r="L39" s="527">
        <v>0</v>
      </c>
      <c r="M39" s="255">
        <f>K39+L39</f>
        <v>0</v>
      </c>
      <c r="N39" s="530">
        <f>ROUND(+K39*1.06,0)</f>
        <v>0</v>
      </c>
      <c r="O39" s="527">
        <v>0</v>
      </c>
      <c r="P39" s="280">
        <f>N39+O39</f>
        <v>0</v>
      </c>
      <c r="Q39" s="214"/>
      <c r="S39" s="84" t="str">
        <f t="shared" si="5"/>
        <v>-</v>
      </c>
      <c r="T39" s="85" t="str">
        <f>IF(G39&gt;0,((P39/G39)^(1/3))-1,"-")</f>
        <v>-</v>
      </c>
    </row>
    <row r="40" spans="1:20" s="173" customFormat="1" ht="18" customHeight="1">
      <c r="A40" s="921"/>
      <c r="B40" s="269" t="s">
        <v>40</v>
      </c>
      <c r="C40" s="251"/>
      <c r="D40" s="929">
        <v>0</v>
      </c>
      <c r="E40" s="929">
        <v>0</v>
      </c>
      <c r="F40" s="531">
        <v>0</v>
      </c>
      <c r="G40" s="252">
        <v>0</v>
      </c>
      <c r="H40" s="253">
        <v>0</v>
      </c>
      <c r="I40" s="527">
        <v>0</v>
      </c>
      <c r="J40" s="255">
        <f>H40+I40</f>
        <v>0</v>
      </c>
      <c r="K40" s="253">
        <v>0</v>
      </c>
      <c r="L40" s="527">
        <v>0</v>
      </c>
      <c r="M40" s="255">
        <f>K40+L40</f>
        <v>0</v>
      </c>
      <c r="N40" s="530">
        <f>ROUND(+K40*1.06,0)</f>
        <v>0</v>
      </c>
      <c r="O40" s="527">
        <v>0</v>
      </c>
      <c r="P40" s="280">
        <f>N40+O40</f>
        <v>0</v>
      </c>
      <c r="Q40" s="214"/>
      <c r="S40" s="84" t="str">
        <f t="shared" si="5"/>
        <v>-</v>
      </c>
      <c r="T40" s="85" t="str">
        <f>IF(G40&gt;0,((P40/G40)^(1/3))-1,"-")</f>
        <v>-</v>
      </c>
    </row>
    <row r="41" spans="1:20" s="173" customFormat="1" ht="18" customHeight="1">
      <c r="A41" s="928"/>
      <c r="B41" s="269" t="s">
        <v>41</v>
      </c>
      <c r="C41" s="251"/>
      <c r="D41" s="925">
        <v>0</v>
      </c>
      <c r="E41" s="925">
        <v>0</v>
      </c>
      <c r="F41" s="538">
        <v>0</v>
      </c>
      <c r="G41" s="926">
        <v>0</v>
      </c>
      <c r="H41" s="275">
        <v>0</v>
      </c>
      <c r="I41" s="545">
        <v>0</v>
      </c>
      <c r="J41" s="276">
        <f>H41+I41</f>
        <v>0</v>
      </c>
      <c r="K41" s="275">
        <v>0</v>
      </c>
      <c r="L41" s="545">
        <v>0</v>
      </c>
      <c r="M41" s="276">
        <f>K41+L41</f>
        <v>0</v>
      </c>
      <c r="N41" s="1018">
        <f>ROUND(+K41*1.06,0)</f>
        <v>0</v>
      </c>
      <c r="O41" s="545">
        <v>0</v>
      </c>
      <c r="P41" s="281">
        <f>N41+O41</f>
        <v>0</v>
      </c>
      <c r="Q41" s="214"/>
      <c r="S41" s="109" t="str">
        <f t="shared" si="5"/>
        <v>-</v>
      </c>
      <c r="T41" s="110" t="str">
        <f>IF(G41&gt;0,((P41/G41)^(1/3))-1,"-")</f>
        <v>-</v>
      </c>
    </row>
    <row r="42" spans="1:20" s="173" customFormat="1" ht="7.5" customHeight="1">
      <c r="A42" s="921"/>
      <c r="B42" s="116"/>
      <c r="C42" s="251"/>
      <c r="D42" s="250"/>
      <c r="E42" s="250"/>
      <c r="F42" s="255"/>
      <c r="G42" s="252"/>
      <c r="H42" s="253"/>
      <c r="I42" s="250"/>
      <c r="J42" s="255"/>
      <c r="K42" s="253"/>
      <c r="L42" s="250"/>
      <c r="M42" s="255"/>
      <c r="N42" s="253"/>
      <c r="O42" s="250"/>
      <c r="P42" s="251"/>
      <c r="Q42" s="214"/>
      <c r="S42" s="84"/>
      <c r="T42" s="85"/>
    </row>
    <row r="43" spans="1:20" s="244" customFormat="1" ht="18" customHeight="1">
      <c r="A43" s="90"/>
      <c r="B43" s="116" t="s">
        <v>42</v>
      </c>
      <c r="C43" s="113"/>
      <c r="D43" s="112">
        <f aca="true" t="shared" si="16" ref="D43:K43">SUM(D44:D47)</f>
        <v>39426</v>
      </c>
      <c r="E43" s="112">
        <f t="shared" si="16"/>
        <v>32258</v>
      </c>
      <c r="F43" s="117">
        <f t="shared" si="16"/>
        <v>70826</v>
      </c>
      <c r="G43" s="114">
        <f t="shared" si="16"/>
        <v>53616</v>
      </c>
      <c r="H43" s="115">
        <f t="shared" si="16"/>
        <v>55761</v>
      </c>
      <c r="I43" s="116">
        <f t="shared" si="16"/>
        <v>0</v>
      </c>
      <c r="J43" s="117">
        <f t="shared" si="16"/>
        <v>55761</v>
      </c>
      <c r="K43" s="115">
        <f t="shared" si="16"/>
        <v>66913</v>
      </c>
      <c r="L43" s="116">
        <f>SUM(L44:L47)</f>
        <v>0</v>
      </c>
      <c r="M43" s="117">
        <f>SUM(M44:M47)</f>
        <v>66913</v>
      </c>
      <c r="N43" s="115">
        <f>SUM(N44:N47)</f>
        <v>70928</v>
      </c>
      <c r="O43" s="116">
        <f>SUM(O44:O47)</f>
        <v>-725</v>
      </c>
      <c r="P43" s="113">
        <f>SUM(P44:P47)</f>
        <v>70203</v>
      </c>
      <c r="Q43" s="118"/>
      <c r="S43" s="99">
        <f t="shared" si="5"/>
        <v>0.10790850841576716</v>
      </c>
      <c r="T43" s="100">
        <f>IF(G43&gt;0,((P43/G43)^(1/3))-1,"-")</f>
        <v>0.09400780468476122</v>
      </c>
    </row>
    <row r="44" spans="1:20" s="173" customFormat="1" ht="18" customHeight="1">
      <c r="A44" s="90"/>
      <c r="B44" s="269" t="s">
        <v>43</v>
      </c>
      <c r="C44" s="113"/>
      <c r="D44" s="922">
        <v>0</v>
      </c>
      <c r="E44" s="922">
        <v>0</v>
      </c>
      <c r="F44" s="533">
        <v>0</v>
      </c>
      <c r="G44" s="923">
        <v>0</v>
      </c>
      <c r="H44" s="271">
        <v>0</v>
      </c>
      <c r="I44" s="543">
        <v>0</v>
      </c>
      <c r="J44" s="270">
        <f>H44+I44</f>
        <v>0</v>
      </c>
      <c r="K44" s="271">
        <v>0</v>
      </c>
      <c r="L44" s="543">
        <v>0</v>
      </c>
      <c r="M44" s="270">
        <f>K44+L44</f>
        <v>0</v>
      </c>
      <c r="N44" s="535">
        <f>ROUND(+K44*1.06,0)</f>
        <v>0</v>
      </c>
      <c r="O44" s="543">
        <v>0</v>
      </c>
      <c r="P44" s="272">
        <f>N44+O44</f>
        <v>0</v>
      </c>
      <c r="Q44" s="214"/>
      <c r="S44" s="104" t="str">
        <f t="shared" si="5"/>
        <v>-</v>
      </c>
      <c r="T44" s="105" t="str">
        <f>IF(G44&gt;0,((P44/G44)^(1/3))-1,"-")</f>
        <v>-</v>
      </c>
    </row>
    <row r="45" spans="1:20" s="173" customFormat="1" ht="18" customHeight="1">
      <c r="A45" s="90"/>
      <c r="B45" s="269" t="s">
        <v>44</v>
      </c>
      <c r="C45" s="113"/>
      <c r="D45" s="929">
        <v>39426</v>
      </c>
      <c r="E45" s="929">
        <v>32258</v>
      </c>
      <c r="F45" s="531">
        <v>70826</v>
      </c>
      <c r="G45" s="252">
        <v>53616</v>
      </c>
      <c r="H45" s="253">
        <v>55761</v>
      </c>
      <c r="I45" s="527">
        <v>0</v>
      </c>
      <c r="J45" s="255">
        <f>H45+I45</f>
        <v>55761</v>
      </c>
      <c r="K45" s="253">
        <v>66913</v>
      </c>
      <c r="L45" s="527">
        <v>0</v>
      </c>
      <c r="M45" s="255">
        <f>K45+L45</f>
        <v>66913</v>
      </c>
      <c r="N45" s="530">
        <f>ROUND(+K45*1.06,0)</f>
        <v>70928</v>
      </c>
      <c r="O45" s="527">
        <f>70203-N45</f>
        <v>-725</v>
      </c>
      <c r="P45" s="280">
        <f>N45+O45</f>
        <v>70203</v>
      </c>
      <c r="Q45" s="214"/>
      <c r="S45" s="84">
        <f t="shared" si="5"/>
        <v>0.10790850841576716</v>
      </c>
      <c r="T45" s="85">
        <f>IF(G45&gt;0,((P45/G45)^(1/3))-1,"-")</f>
        <v>0.09400780468476122</v>
      </c>
    </row>
    <row r="46" spans="1:20" s="173" customFormat="1" ht="18" customHeight="1">
      <c r="A46" s="90"/>
      <c r="B46" s="269" t="s">
        <v>45</v>
      </c>
      <c r="C46" s="113"/>
      <c r="D46" s="929">
        <v>0</v>
      </c>
      <c r="E46" s="929">
        <v>0</v>
      </c>
      <c r="F46" s="531">
        <v>0</v>
      </c>
      <c r="G46" s="252">
        <v>0</v>
      </c>
      <c r="H46" s="253">
        <v>0</v>
      </c>
      <c r="I46" s="527">
        <v>0</v>
      </c>
      <c r="J46" s="255">
        <f>H46+I46</f>
        <v>0</v>
      </c>
      <c r="K46" s="253">
        <v>0</v>
      </c>
      <c r="L46" s="527">
        <v>0</v>
      </c>
      <c r="M46" s="255">
        <f>K46+L46</f>
        <v>0</v>
      </c>
      <c r="N46" s="530">
        <f>ROUND(+K46*1.06,0)</f>
        <v>0</v>
      </c>
      <c r="O46" s="527">
        <v>0</v>
      </c>
      <c r="P46" s="280">
        <f>N46+O46</f>
        <v>0</v>
      </c>
      <c r="Q46" s="214"/>
      <c r="S46" s="84" t="str">
        <f t="shared" si="5"/>
        <v>-</v>
      </c>
      <c r="T46" s="85" t="str">
        <f>IF(G46&gt;0,((P46/G46)^(1/3))-1,"-")</f>
        <v>-</v>
      </c>
    </row>
    <row r="47" spans="1:20" s="173" customFormat="1" ht="18" customHeight="1">
      <c r="A47" s="90"/>
      <c r="B47" s="269" t="s">
        <v>41</v>
      </c>
      <c r="C47" s="113"/>
      <c r="D47" s="925">
        <v>0</v>
      </c>
      <c r="E47" s="925">
        <v>0</v>
      </c>
      <c r="F47" s="538">
        <v>0</v>
      </c>
      <c r="G47" s="926">
        <v>0</v>
      </c>
      <c r="H47" s="275">
        <v>0</v>
      </c>
      <c r="I47" s="545">
        <v>0</v>
      </c>
      <c r="J47" s="276">
        <f>H47+I47</f>
        <v>0</v>
      </c>
      <c r="K47" s="275">
        <v>0</v>
      </c>
      <c r="L47" s="545">
        <v>0</v>
      </c>
      <c r="M47" s="276">
        <f>K47+L47</f>
        <v>0</v>
      </c>
      <c r="N47" s="1018">
        <f>ROUND(+K47*1.06,0)</f>
        <v>0</v>
      </c>
      <c r="O47" s="545">
        <v>0</v>
      </c>
      <c r="P47" s="281">
        <f>N47+O47</f>
        <v>0</v>
      </c>
      <c r="Q47" s="214"/>
      <c r="S47" s="109" t="str">
        <f t="shared" si="5"/>
        <v>-</v>
      </c>
      <c r="T47" s="110" t="str">
        <f>IF(G47&gt;0,((P47/G47)^(1/3))-1,"-")</f>
        <v>-</v>
      </c>
    </row>
    <row r="48" spans="1:20" s="173" customFormat="1" ht="7.5" customHeight="1" thickBot="1">
      <c r="A48" s="90"/>
      <c r="B48" s="930"/>
      <c r="C48" s="258"/>
      <c r="D48" s="931"/>
      <c r="E48" s="931"/>
      <c r="F48" s="932"/>
      <c r="G48" s="933"/>
      <c r="H48" s="934"/>
      <c r="I48" s="931"/>
      <c r="J48" s="932"/>
      <c r="K48" s="934"/>
      <c r="L48" s="931"/>
      <c r="M48" s="932"/>
      <c r="N48" s="934"/>
      <c r="O48" s="931"/>
      <c r="P48" s="935"/>
      <c r="Q48" s="936"/>
      <c r="S48" s="84"/>
      <c r="T48" s="85"/>
    </row>
    <row r="49" spans="1:20" ht="7.5" customHeight="1" thickBot="1">
      <c r="A49" s="189"/>
      <c r="B49" s="294"/>
      <c r="C49" s="856"/>
      <c r="D49" s="250"/>
      <c r="E49" s="250"/>
      <c r="F49" s="255"/>
      <c r="G49" s="252"/>
      <c r="H49" s="253"/>
      <c r="I49" s="254"/>
      <c r="J49" s="255"/>
      <c r="K49" s="253"/>
      <c r="L49" s="254"/>
      <c r="M49" s="255"/>
      <c r="N49" s="253"/>
      <c r="O49" s="254"/>
      <c r="P49" s="251"/>
      <c r="Q49" s="214"/>
      <c r="S49" s="84"/>
      <c r="T49" s="85"/>
    </row>
    <row r="50" spans="1:20" s="119" customFormat="1" ht="30" customHeight="1" thickBot="1">
      <c r="A50" s="295" t="s">
        <v>55</v>
      </c>
      <c r="B50" s="296"/>
      <c r="C50" s="297"/>
      <c r="D50" s="298">
        <f aca="true" t="shared" si="17" ref="D50:K50">+D32+D14</f>
        <v>10717267</v>
      </c>
      <c r="E50" s="298">
        <f t="shared" si="17"/>
        <v>13932091</v>
      </c>
      <c r="F50" s="299">
        <f t="shared" si="17"/>
        <v>16052950</v>
      </c>
      <c r="G50" s="300">
        <f t="shared" si="17"/>
        <v>18414380</v>
      </c>
      <c r="H50" s="301">
        <f t="shared" si="17"/>
        <v>19338538</v>
      </c>
      <c r="I50" s="298">
        <f t="shared" si="17"/>
        <v>0</v>
      </c>
      <c r="J50" s="299">
        <f t="shared" si="17"/>
        <v>19338538</v>
      </c>
      <c r="K50" s="301">
        <f t="shared" si="17"/>
        <v>19883045</v>
      </c>
      <c r="L50" s="298">
        <f>+L32+L14</f>
        <v>0</v>
      </c>
      <c r="M50" s="299">
        <f>+M32+M14</f>
        <v>19883045</v>
      </c>
      <c r="N50" s="301">
        <f>+N32+N14</f>
        <v>21015214</v>
      </c>
      <c r="O50" s="298">
        <f>+O32+O14</f>
        <v>0</v>
      </c>
      <c r="P50" s="302">
        <f>+P32+P14</f>
        <v>21015214</v>
      </c>
      <c r="Q50" s="303"/>
      <c r="S50" s="170">
        <f t="shared" si="5"/>
        <v>0.1977265689144907</v>
      </c>
      <c r="T50" s="304">
        <f>IF(G50&gt;0,((P50/G50)^(1/3))-1,"-")</f>
        <v>0.04502233336293582</v>
      </c>
    </row>
    <row r="51" spans="1:20" s="119" customFormat="1" ht="21.75" customHeight="1" hidden="1" thickTop="1">
      <c r="A51" s="174" t="s">
        <v>60</v>
      </c>
      <c r="B51" s="937"/>
      <c r="C51" s="113"/>
      <c r="D51" s="112">
        <f aca="true" t="shared" si="18" ref="D51:K51">SUM(D52:D53)</f>
        <v>0</v>
      </c>
      <c r="E51" s="112">
        <f t="shared" si="18"/>
        <v>0</v>
      </c>
      <c r="F51" s="117">
        <f t="shared" si="18"/>
        <v>0</v>
      </c>
      <c r="G51" s="114">
        <f t="shared" si="18"/>
        <v>0</v>
      </c>
      <c r="H51" s="115">
        <f t="shared" si="18"/>
        <v>0</v>
      </c>
      <c r="I51" s="116">
        <f t="shared" si="18"/>
        <v>0</v>
      </c>
      <c r="J51" s="117">
        <f t="shared" si="18"/>
        <v>0</v>
      </c>
      <c r="K51" s="115">
        <f t="shared" si="18"/>
        <v>0</v>
      </c>
      <c r="L51" s="116">
        <f>SUM(L52:L53)</f>
        <v>0</v>
      </c>
      <c r="M51" s="117">
        <f>SUM(M52:M53)</f>
        <v>0</v>
      </c>
      <c r="N51" s="115">
        <f>SUM(N52:N53)</f>
        <v>0</v>
      </c>
      <c r="O51" s="116">
        <f>SUM(O52:O53)</f>
        <v>0</v>
      </c>
      <c r="P51" s="113">
        <f>SUM(P52:P53)</f>
        <v>0</v>
      </c>
      <c r="Q51" s="118"/>
      <c r="R51" s="244"/>
      <c r="S51" s="99" t="str">
        <f t="shared" si="5"/>
        <v>-</v>
      </c>
      <c r="T51" s="100" t="str">
        <f>IF(G51&gt;0,((P51/G51)^(1/3))-1,"-")</f>
        <v>-</v>
      </c>
    </row>
    <row r="52" spans="1:20" s="119" customFormat="1" ht="18" customHeight="1" hidden="1">
      <c r="A52" s="938"/>
      <c r="B52" s="849" t="str">
        <f>+'Schedule 1 '!B35</f>
        <v>Details of statutory amounts</v>
      </c>
      <c r="C52" s="251"/>
      <c r="D52" s="939">
        <f>+'Schedule 1 '!D35</f>
        <v>0</v>
      </c>
      <c r="E52" s="939">
        <f>+'Schedule 1 '!E35</f>
        <v>0</v>
      </c>
      <c r="F52" s="533">
        <f>+'Schedule 1 '!F35</f>
        <v>0</v>
      </c>
      <c r="G52" s="923">
        <f>+'Schedule 1 '!G35</f>
        <v>0</v>
      </c>
      <c r="H52" s="271">
        <f>+'Schedule 1 '!H35</f>
        <v>0</v>
      </c>
      <c r="I52" s="536">
        <f>+'Schedule 1 '!I35</f>
        <v>0</v>
      </c>
      <c r="J52" s="270">
        <f>+'Schedule 1 '!J35</f>
        <v>0</v>
      </c>
      <c r="K52" s="271">
        <f>+'Schedule 1 '!K35</f>
        <v>0</v>
      </c>
      <c r="L52" s="536">
        <f>+'Schedule 1 '!L35</f>
        <v>0</v>
      </c>
      <c r="M52" s="270">
        <f>+'Schedule 1 '!M35</f>
        <v>0</v>
      </c>
      <c r="N52" s="271">
        <f>+'Schedule 1 '!N35</f>
        <v>0</v>
      </c>
      <c r="O52" s="546">
        <f>+'Schedule 1 '!O35</f>
        <v>0</v>
      </c>
      <c r="P52" s="272">
        <f>+'Schedule 1 '!P35</f>
        <v>0</v>
      </c>
      <c r="Q52" s="214">
        <f>+'Schedule 1 '!Q35</f>
        <v>0</v>
      </c>
      <c r="R52" s="173"/>
      <c r="S52" s="104" t="str">
        <f t="shared" si="5"/>
        <v>-</v>
      </c>
      <c r="T52" s="105" t="str">
        <f>IF(G52&gt;0,((P52/G52)^(1/3))-1,"-")</f>
        <v>-</v>
      </c>
    </row>
    <row r="53" spans="1:20" s="119" customFormat="1" ht="18" customHeight="1" hidden="1">
      <c r="A53" s="938"/>
      <c r="B53" s="849" t="str">
        <f>+'Schedule 1 '!B36</f>
        <v>Details of statutory amounts</v>
      </c>
      <c r="C53" s="173"/>
      <c r="D53" s="940">
        <f>+'Schedule 1 '!D36</f>
        <v>0</v>
      </c>
      <c r="E53" s="940">
        <f>+'Schedule 1 '!E36</f>
        <v>0</v>
      </c>
      <c r="F53" s="542">
        <f>+'Schedule 1 '!F36</f>
        <v>0</v>
      </c>
      <c r="G53" s="941">
        <f>+'Schedule 1 '!G36</f>
        <v>0</v>
      </c>
      <c r="H53" s="277">
        <f>+'Schedule 1 '!H36</f>
        <v>0</v>
      </c>
      <c r="I53" s="545">
        <f>+'Schedule 1 '!I36</f>
        <v>0</v>
      </c>
      <c r="J53" s="276">
        <f>+'Schedule 1 '!J36</f>
        <v>0</v>
      </c>
      <c r="K53" s="277">
        <f>+'Schedule 1 '!K36</f>
        <v>0</v>
      </c>
      <c r="L53" s="545">
        <f>+'Schedule 1 '!L36</f>
        <v>0</v>
      </c>
      <c r="M53" s="276">
        <f>+'Schedule 1 '!M36</f>
        <v>0</v>
      </c>
      <c r="N53" s="277">
        <f>+'Schedule 1 '!N36</f>
        <v>0</v>
      </c>
      <c r="O53" s="545">
        <f>+'Schedule 1 '!O36</f>
        <v>0</v>
      </c>
      <c r="P53" s="281">
        <f>+'Schedule 1 '!P36</f>
        <v>0</v>
      </c>
      <c r="Q53" s="214">
        <f>+'Schedule 1 '!Q36</f>
        <v>0</v>
      </c>
      <c r="R53" s="173"/>
      <c r="S53" s="109" t="str">
        <f t="shared" si="5"/>
        <v>-</v>
      </c>
      <c r="T53" s="110" t="str">
        <f>IF(G53&gt;0,((P53/G53)^(1/3))-1,"-")</f>
        <v>-</v>
      </c>
    </row>
    <row r="54" spans="1:20" s="119" customFormat="1" ht="4.5" customHeight="1" hidden="1" thickBot="1">
      <c r="A54" s="942"/>
      <c r="B54" s="943"/>
      <c r="C54" s="944"/>
      <c r="D54" s="250"/>
      <c r="E54" s="250"/>
      <c r="F54" s="255"/>
      <c r="G54" s="252"/>
      <c r="H54" s="253"/>
      <c r="I54" s="250"/>
      <c r="J54" s="255"/>
      <c r="K54" s="253"/>
      <c r="L54" s="250"/>
      <c r="M54" s="255"/>
      <c r="N54" s="253"/>
      <c r="O54" s="250"/>
      <c r="P54" s="251"/>
      <c r="Q54" s="214"/>
      <c r="R54" s="173"/>
      <c r="S54" s="84"/>
      <c r="T54" s="85"/>
    </row>
    <row r="55" spans="1:20" s="119" customFormat="1" ht="30" customHeight="1" hidden="1" thickBot="1">
      <c r="A55" s="295" t="s">
        <v>4</v>
      </c>
      <c r="B55" s="296"/>
      <c r="C55" s="945"/>
      <c r="D55" s="298">
        <f aca="true" t="shared" si="19" ref="D55:K55">+D50+D51</f>
        <v>10717267</v>
      </c>
      <c r="E55" s="298">
        <f t="shared" si="19"/>
        <v>13932091</v>
      </c>
      <c r="F55" s="299">
        <f t="shared" si="19"/>
        <v>16052950</v>
      </c>
      <c r="G55" s="300">
        <f t="shared" si="19"/>
        <v>18414380</v>
      </c>
      <c r="H55" s="301">
        <f t="shared" si="19"/>
        <v>19338538</v>
      </c>
      <c r="I55" s="298">
        <f t="shared" si="19"/>
        <v>0</v>
      </c>
      <c r="J55" s="299">
        <f t="shared" si="19"/>
        <v>19338538</v>
      </c>
      <c r="K55" s="301">
        <f t="shared" si="19"/>
        <v>19883045</v>
      </c>
      <c r="L55" s="298">
        <f>+L50+L51</f>
        <v>0</v>
      </c>
      <c r="M55" s="299">
        <f>+M50+M51</f>
        <v>19883045</v>
      </c>
      <c r="N55" s="301">
        <f>+N50+N51</f>
        <v>21015214</v>
      </c>
      <c r="O55" s="298">
        <f>+O50+O51</f>
        <v>0</v>
      </c>
      <c r="P55" s="302">
        <f>+P50+P51</f>
        <v>21015214</v>
      </c>
      <c r="Q55" s="303"/>
      <c r="S55" s="170">
        <f t="shared" si="5"/>
        <v>0.1977265689144907</v>
      </c>
      <c r="T55" s="304">
        <f>IF(G55&gt;0,((P55/G55)^(1/3))-1,"-")</f>
        <v>0.04502233336293582</v>
      </c>
    </row>
    <row r="56" spans="1:20" s="119" customFormat="1" ht="30" customHeight="1" thickBot="1" thickTop="1">
      <c r="A56" s="946"/>
      <c r="B56" s="947"/>
      <c r="C56" s="947"/>
      <c r="D56" s="947"/>
      <c r="E56" s="947"/>
      <c r="F56" s="947"/>
      <c r="G56" s="947"/>
      <c r="H56" s="947"/>
      <c r="I56" s="948"/>
      <c r="J56" s="948"/>
      <c r="K56" s="947"/>
      <c r="L56" s="948"/>
      <c r="M56" s="948"/>
      <c r="N56" s="947"/>
      <c r="O56" s="947"/>
      <c r="P56" s="947"/>
      <c r="Q56" s="947"/>
      <c r="R56" s="244"/>
      <c r="S56" s="949"/>
      <c r="T56" s="949"/>
    </row>
    <row r="57" spans="1:23" s="119" customFormat="1" ht="21.75" customHeight="1" thickTop="1">
      <c r="A57" s="249" t="s">
        <v>46</v>
      </c>
      <c r="B57" s="250"/>
      <c r="C57" s="251"/>
      <c r="D57" s="250"/>
      <c r="E57" s="250"/>
      <c r="F57" s="950"/>
      <c r="G57" s="951"/>
      <c r="H57" s="952"/>
      <c r="I57" s="953"/>
      <c r="J57" s="950"/>
      <c r="K57" s="952"/>
      <c r="L57" s="953"/>
      <c r="M57" s="950"/>
      <c r="N57" s="952"/>
      <c r="O57" s="254"/>
      <c r="P57" s="251"/>
      <c r="Q57" s="214"/>
      <c r="R57" s="173"/>
      <c r="S57" s="954"/>
      <c r="T57" s="955"/>
      <c r="U57" s="111"/>
      <c r="V57" s="111"/>
      <c r="W57" s="111"/>
    </row>
    <row r="58" spans="1:23" s="119" customFormat="1" ht="18" customHeight="1">
      <c r="A58" s="259"/>
      <c r="B58" s="250" t="s">
        <v>25</v>
      </c>
      <c r="C58" s="251"/>
      <c r="D58" s="250">
        <v>5725487</v>
      </c>
      <c r="E58" s="250">
        <v>5838901</v>
      </c>
      <c r="F58" s="531">
        <v>6182349</v>
      </c>
      <c r="G58" s="252">
        <v>6341056</v>
      </c>
      <c r="H58" s="253">
        <v>6368980</v>
      </c>
      <c r="I58" s="528">
        <f>6605779-H58</f>
        <v>236799</v>
      </c>
      <c r="J58" s="255">
        <f aca="true" t="shared" si="20" ref="J58:J65">H58+I58</f>
        <v>6605779</v>
      </c>
      <c r="K58" s="253">
        <v>6536130</v>
      </c>
      <c r="L58" s="528">
        <f>6784378-K58</f>
        <v>248248</v>
      </c>
      <c r="M58" s="255">
        <f aca="true" t="shared" si="21" ref="M58:M65">K58+L58</f>
        <v>6784378</v>
      </c>
      <c r="N58" s="530">
        <f aca="true" t="shared" si="22" ref="N58:N65">ROUND(+K58*1.06,0)</f>
        <v>6928298</v>
      </c>
      <c r="O58" s="528">
        <f>6977658-N58</f>
        <v>49360</v>
      </c>
      <c r="P58" s="251">
        <f aca="true" t="shared" si="23" ref="P58:P65">N58+O58</f>
        <v>6977658</v>
      </c>
      <c r="Q58" s="214"/>
      <c r="R58" s="173"/>
      <c r="S58" s="84">
        <f aca="true" t="shared" si="24" ref="S58:S72">IF(D58&gt;0,((G58/D58)^(1/3))-1,"-")</f>
        <v>0.03462519937177766</v>
      </c>
      <c r="T58" s="85">
        <f aca="true" t="shared" si="25" ref="T58:T65">IF(G58&gt;0,((P58/G58)^(1/3))-1,"-")</f>
        <v>0.0324032512753476</v>
      </c>
      <c r="U58" s="244"/>
      <c r="V58" s="244"/>
      <c r="W58" s="244"/>
    </row>
    <row r="59" spans="1:23" s="119" customFormat="1" ht="18" customHeight="1">
      <c r="A59" s="921"/>
      <c r="B59" s="250" t="s">
        <v>47</v>
      </c>
      <c r="C59" s="251"/>
      <c r="D59" s="250">
        <v>353235</v>
      </c>
      <c r="E59" s="250">
        <v>385369</v>
      </c>
      <c r="F59" s="531">
        <v>502860</v>
      </c>
      <c r="G59" s="252">
        <v>581726</v>
      </c>
      <c r="H59" s="253">
        <v>502373</v>
      </c>
      <c r="I59" s="528">
        <f>539821-H59</f>
        <v>37448</v>
      </c>
      <c r="J59" s="255">
        <f t="shared" si="20"/>
        <v>539821</v>
      </c>
      <c r="K59" s="253">
        <v>507030</v>
      </c>
      <c r="L59" s="528">
        <f>556781-K59</f>
        <v>49751</v>
      </c>
      <c r="M59" s="255">
        <f t="shared" si="21"/>
        <v>556781</v>
      </c>
      <c r="N59" s="530">
        <f t="shared" si="22"/>
        <v>537452</v>
      </c>
      <c r="O59" s="528">
        <f>565543-N59</f>
        <v>28091</v>
      </c>
      <c r="P59" s="251">
        <f t="shared" si="23"/>
        <v>565543</v>
      </c>
      <c r="Q59" s="214"/>
      <c r="R59" s="173"/>
      <c r="S59" s="84">
        <f t="shared" si="24"/>
        <v>0.1809139385612426</v>
      </c>
      <c r="T59" s="85">
        <f t="shared" si="25"/>
        <v>-0.009360321859535947</v>
      </c>
      <c r="U59" s="173"/>
      <c r="V59" s="173"/>
      <c r="W59" s="173"/>
    </row>
    <row r="60" spans="1:23" s="119" customFormat="1" ht="18" customHeight="1">
      <c r="A60" s="921"/>
      <c r="B60" s="250" t="s">
        <v>48</v>
      </c>
      <c r="C60" s="251"/>
      <c r="D60" s="250">
        <v>709116</v>
      </c>
      <c r="E60" s="250">
        <v>729799</v>
      </c>
      <c r="F60" s="531">
        <v>979150</v>
      </c>
      <c r="G60" s="252">
        <v>1089834</v>
      </c>
      <c r="H60" s="253">
        <v>1164379</v>
      </c>
      <c r="I60" s="528">
        <f>894288-H60</f>
        <v>-270091</v>
      </c>
      <c r="J60" s="255">
        <f t="shared" si="20"/>
        <v>894288</v>
      </c>
      <c r="K60" s="253">
        <v>1228864</v>
      </c>
      <c r="L60" s="528">
        <f>874363-K60</f>
        <v>-354501</v>
      </c>
      <c r="M60" s="255">
        <f t="shared" si="21"/>
        <v>874363</v>
      </c>
      <c r="N60" s="530">
        <f>ROUND(+K60*1.06,0)-1</f>
        <v>1302595</v>
      </c>
      <c r="O60" s="528">
        <f>910266-N60</f>
        <v>-392329</v>
      </c>
      <c r="P60" s="251">
        <f t="shared" si="23"/>
        <v>910266</v>
      </c>
      <c r="Q60" s="214"/>
      <c r="R60" s="173"/>
      <c r="S60" s="84">
        <f t="shared" si="24"/>
        <v>0.15402271168242</v>
      </c>
      <c r="T60" s="85">
        <f t="shared" si="25"/>
        <v>-0.058249217822234356</v>
      </c>
      <c r="U60" s="173"/>
      <c r="V60" s="173"/>
      <c r="W60" s="173"/>
    </row>
    <row r="61" spans="1:21" s="119" customFormat="1" ht="18" customHeight="1">
      <c r="A61" s="259"/>
      <c r="B61" s="250" t="s">
        <v>49</v>
      </c>
      <c r="C61" s="251"/>
      <c r="D61" s="250">
        <v>217091</v>
      </c>
      <c r="E61" s="250">
        <v>241747</v>
      </c>
      <c r="F61" s="531">
        <v>271829</v>
      </c>
      <c r="G61" s="252">
        <v>318937</v>
      </c>
      <c r="H61" s="253">
        <v>319968</v>
      </c>
      <c r="I61" s="528">
        <f>370661-H61</f>
        <v>50693</v>
      </c>
      <c r="J61" s="255">
        <f t="shared" si="20"/>
        <v>370661</v>
      </c>
      <c r="K61" s="253">
        <v>319245</v>
      </c>
      <c r="L61" s="528">
        <f>398226-K61</f>
        <v>78981</v>
      </c>
      <c r="M61" s="255">
        <f t="shared" si="21"/>
        <v>398226</v>
      </c>
      <c r="N61" s="530">
        <f t="shared" si="22"/>
        <v>338400</v>
      </c>
      <c r="O61" s="528">
        <f>452701-N61</f>
        <v>114301</v>
      </c>
      <c r="P61" s="251">
        <f t="shared" si="23"/>
        <v>452701</v>
      </c>
      <c r="Q61" s="214"/>
      <c r="R61" s="173"/>
      <c r="S61" s="84">
        <f t="shared" si="24"/>
        <v>0.13680950264221114</v>
      </c>
      <c r="T61" s="85">
        <f t="shared" si="25"/>
        <v>0.12383404161716216</v>
      </c>
      <c r="U61" s="244"/>
    </row>
    <row r="62" spans="1:21" s="119" customFormat="1" ht="18" customHeight="1">
      <c r="A62" s="921"/>
      <c r="B62" s="250" t="s">
        <v>50</v>
      </c>
      <c r="C62" s="251"/>
      <c r="D62" s="250">
        <v>2146</v>
      </c>
      <c r="E62" s="250">
        <v>2065</v>
      </c>
      <c r="F62" s="531">
        <v>2705</v>
      </c>
      <c r="G62" s="252">
        <v>5882</v>
      </c>
      <c r="H62" s="253">
        <v>6306</v>
      </c>
      <c r="I62" s="528">
        <f>12314-H62</f>
        <v>6008</v>
      </c>
      <c r="J62" s="255">
        <f t="shared" si="20"/>
        <v>12314</v>
      </c>
      <c r="K62" s="253">
        <v>5628</v>
      </c>
      <c r="L62" s="528">
        <f>11202-K62</f>
        <v>5574</v>
      </c>
      <c r="M62" s="255">
        <f t="shared" si="21"/>
        <v>11202</v>
      </c>
      <c r="N62" s="530">
        <f t="shared" si="22"/>
        <v>5966</v>
      </c>
      <c r="O62" s="528">
        <f>11671-N62</f>
        <v>5705</v>
      </c>
      <c r="P62" s="251">
        <f t="shared" si="23"/>
        <v>11671</v>
      </c>
      <c r="Q62" s="214"/>
      <c r="R62" s="173"/>
      <c r="S62" s="84">
        <f t="shared" si="24"/>
        <v>0.39947485867631327</v>
      </c>
      <c r="T62" s="85">
        <f t="shared" si="25"/>
        <v>0.2565921711292174</v>
      </c>
      <c r="U62" s="173"/>
    </row>
    <row r="63" spans="1:21" s="119" customFormat="1" ht="18" customHeight="1">
      <c r="A63" s="259"/>
      <c r="B63" s="250" t="s">
        <v>51</v>
      </c>
      <c r="C63" s="251"/>
      <c r="D63" s="250">
        <v>1608883</v>
      </c>
      <c r="E63" s="250">
        <v>1750797</v>
      </c>
      <c r="F63" s="531">
        <v>2063851</v>
      </c>
      <c r="G63" s="252">
        <v>2222969</v>
      </c>
      <c r="H63" s="253">
        <v>2253648</v>
      </c>
      <c r="I63" s="528">
        <f>1847045-H63</f>
        <v>-406603</v>
      </c>
      <c r="J63" s="255">
        <f t="shared" si="20"/>
        <v>1847045</v>
      </c>
      <c r="K63" s="253">
        <v>2361839</v>
      </c>
      <c r="L63" s="528">
        <f>1863934-K63</f>
        <v>-497905</v>
      </c>
      <c r="M63" s="255">
        <f t="shared" si="21"/>
        <v>1863934</v>
      </c>
      <c r="N63" s="530">
        <f t="shared" si="22"/>
        <v>2503549</v>
      </c>
      <c r="O63" s="528">
        <f>2172492-N63-60</f>
        <v>-331117</v>
      </c>
      <c r="P63" s="251">
        <f t="shared" si="23"/>
        <v>2172432</v>
      </c>
      <c r="Q63" s="214"/>
      <c r="R63" s="173"/>
      <c r="S63" s="84">
        <f t="shared" si="24"/>
        <v>0.11378914564555176</v>
      </c>
      <c r="T63" s="85">
        <f t="shared" si="25"/>
        <v>-0.00763616601918693</v>
      </c>
      <c r="U63" s="244"/>
    </row>
    <row r="64" spans="1:21" s="119" customFormat="1" ht="18" customHeight="1">
      <c r="A64" s="921"/>
      <c r="B64" s="250" t="s">
        <v>28</v>
      </c>
      <c r="C64" s="251"/>
      <c r="D64" s="250">
        <f>+D19+D33</f>
        <v>2005897</v>
      </c>
      <c r="E64" s="250">
        <f aca="true" t="shared" si="26" ref="E64:P64">+E19+E33</f>
        <v>4903311</v>
      </c>
      <c r="F64" s="255">
        <f t="shared" si="26"/>
        <v>6041389</v>
      </c>
      <c r="G64" s="252">
        <f t="shared" si="26"/>
        <v>7843126</v>
      </c>
      <c r="H64" s="253">
        <f t="shared" si="26"/>
        <v>8712007</v>
      </c>
      <c r="I64" s="251">
        <f t="shared" si="26"/>
        <v>346123</v>
      </c>
      <c r="J64" s="255">
        <f t="shared" si="26"/>
        <v>9058130</v>
      </c>
      <c r="K64" s="253">
        <f t="shared" si="26"/>
        <v>8913432</v>
      </c>
      <c r="L64" s="251">
        <f t="shared" si="26"/>
        <v>470229</v>
      </c>
      <c r="M64" s="255">
        <f t="shared" si="26"/>
        <v>9383661</v>
      </c>
      <c r="N64" s="253">
        <f t="shared" si="26"/>
        <v>9387424</v>
      </c>
      <c r="O64" s="251">
        <f t="shared" si="26"/>
        <v>527019</v>
      </c>
      <c r="P64" s="251">
        <f t="shared" si="26"/>
        <v>9914443</v>
      </c>
      <c r="Q64" s="214"/>
      <c r="R64" s="173"/>
      <c r="S64" s="84">
        <f t="shared" si="24"/>
        <v>0.575409721435838</v>
      </c>
      <c r="T64" s="85">
        <f t="shared" si="25"/>
        <v>0.08125063639165697</v>
      </c>
      <c r="U64" s="173"/>
    </row>
    <row r="65" spans="1:21" s="119" customFormat="1" ht="18" customHeight="1">
      <c r="A65" s="928"/>
      <c r="B65" s="250" t="s">
        <v>52</v>
      </c>
      <c r="C65" s="251"/>
      <c r="D65" s="250">
        <v>95412</v>
      </c>
      <c r="E65" s="250">
        <v>80102</v>
      </c>
      <c r="F65" s="531">
        <v>8817</v>
      </c>
      <c r="G65" s="252">
        <v>10850</v>
      </c>
      <c r="H65" s="253">
        <v>10877</v>
      </c>
      <c r="I65" s="528">
        <f>10500-H65</f>
        <v>-377</v>
      </c>
      <c r="J65" s="255">
        <f t="shared" si="20"/>
        <v>10500</v>
      </c>
      <c r="K65" s="253">
        <v>10877</v>
      </c>
      <c r="L65" s="528">
        <f>10500-K65</f>
        <v>-377</v>
      </c>
      <c r="M65" s="255">
        <f t="shared" si="21"/>
        <v>10500</v>
      </c>
      <c r="N65" s="530">
        <f t="shared" si="22"/>
        <v>11530</v>
      </c>
      <c r="O65" s="528">
        <f>10500-N65</f>
        <v>-1030</v>
      </c>
      <c r="P65" s="251">
        <f t="shared" si="23"/>
        <v>10500</v>
      </c>
      <c r="Q65" s="214"/>
      <c r="R65" s="173"/>
      <c r="S65" s="84">
        <f t="shared" si="24"/>
        <v>-0.51552030557784</v>
      </c>
      <c r="T65" s="85">
        <f t="shared" si="25"/>
        <v>-0.010870426164858005</v>
      </c>
      <c r="U65" s="173"/>
    </row>
    <row r="66" spans="1:20" ht="7.5" customHeight="1" thickBot="1">
      <c r="A66" s="189"/>
      <c r="B66" s="294"/>
      <c r="C66" s="856"/>
      <c r="D66" s="250"/>
      <c r="E66" s="250"/>
      <c r="F66" s="255"/>
      <c r="G66" s="252"/>
      <c r="H66" s="253"/>
      <c r="I66" s="254"/>
      <c r="J66" s="255"/>
      <c r="K66" s="253"/>
      <c r="L66" s="254"/>
      <c r="M66" s="932"/>
      <c r="N66" s="253"/>
      <c r="O66" s="254"/>
      <c r="P66" s="251"/>
      <c r="Q66" s="214"/>
      <c r="R66" s="173"/>
      <c r="S66" s="84"/>
      <c r="T66" s="85"/>
    </row>
    <row r="67" spans="1:21" ht="30" customHeight="1" thickBot="1">
      <c r="A67" s="295" t="s">
        <v>56</v>
      </c>
      <c r="B67" s="296"/>
      <c r="C67" s="297"/>
      <c r="D67" s="298">
        <f aca="true" t="shared" si="27" ref="D67:P67">+D58+D59+D60+D61+D62+D63+D64+D65</f>
        <v>10717267</v>
      </c>
      <c r="E67" s="298">
        <f>+E58+E59+E60+E61+E62+E63+E64+E65</f>
        <v>13932091</v>
      </c>
      <c r="F67" s="299">
        <f>+F58+F59+F60+F61+F62+F63+F64+F65</f>
        <v>16052950</v>
      </c>
      <c r="G67" s="300">
        <f>+G58+G59+G60+G61+G62+G63+G64+G65</f>
        <v>18414380</v>
      </c>
      <c r="H67" s="301">
        <f>+H58+H59+H60+H61+H62+H63+H64+H65</f>
        <v>19338538</v>
      </c>
      <c r="I67" s="298">
        <f t="shared" si="27"/>
        <v>0</v>
      </c>
      <c r="J67" s="299">
        <f t="shared" si="27"/>
        <v>19338538</v>
      </c>
      <c r="K67" s="301">
        <f>+K58+K59+K60+K61+K62+K63+K64+K65</f>
        <v>19883045</v>
      </c>
      <c r="L67" s="298">
        <f t="shared" si="27"/>
        <v>0</v>
      </c>
      <c r="M67" s="299">
        <f t="shared" si="27"/>
        <v>19883045</v>
      </c>
      <c r="N67" s="301">
        <f t="shared" si="27"/>
        <v>21015214</v>
      </c>
      <c r="O67" s="298">
        <f t="shared" si="27"/>
        <v>0</v>
      </c>
      <c r="P67" s="302">
        <f t="shared" si="27"/>
        <v>21015214</v>
      </c>
      <c r="Q67" s="303"/>
      <c r="R67" s="119"/>
      <c r="S67" s="170">
        <f t="shared" si="24"/>
        <v>0.1977265689144907</v>
      </c>
      <c r="T67" s="304">
        <f>IF(G67&gt;0,((P67/G67)^(1/3))-1,"-")</f>
        <v>0.04502233336293582</v>
      </c>
      <c r="U67" s="119"/>
    </row>
    <row r="68" spans="1:21" ht="21.75" customHeight="1" hidden="1" thickTop="1">
      <c r="A68" s="174" t="s">
        <v>60</v>
      </c>
      <c r="B68" s="937"/>
      <c r="C68" s="113"/>
      <c r="D68" s="112">
        <f aca="true" t="shared" si="28" ref="D68:J68">SUM(D69:D70)</f>
        <v>0</v>
      </c>
      <c r="E68" s="112">
        <f>SUM(E69:E70)</f>
        <v>0</v>
      </c>
      <c r="F68" s="117">
        <f>SUM(F69:F70)</f>
        <v>0</v>
      </c>
      <c r="G68" s="114">
        <f>SUM(G69:G70)</f>
        <v>0</v>
      </c>
      <c r="H68" s="115">
        <f>SUM(H69:H70)</f>
        <v>0</v>
      </c>
      <c r="I68" s="116">
        <f t="shared" si="28"/>
        <v>0</v>
      </c>
      <c r="J68" s="117">
        <f t="shared" si="28"/>
        <v>0</v>
      </c>
      <c r="K68" s="115">
        <f aca="true" t="shared" si="29" ref="K68:P68">SUM(K69:K70)</f>
        <v>0</v>
      </c>
      <c r="L68" s="116">
        <f t="shared" si="29"/>
        <v>0</v>
      </c>
      <c r="M68" s="117">
        <f t="shared" si="29"/>
        <v>0</v>
      </c>
      <c r="N68" s="115">
        <f t="shared" si="29"/>
        <v>0</v>
      </c>
      <c r="O68" s="116">
        <f t="shared" si="29"/>
        <v>0</v>
      </c>
      <c r="P68" s="113">
        <f t="shared" si="29"/>
        <v>0</v>
      </c>
      <c r="Q68" s="118"/>
      <c r="R68" s="244"/>
      <c r="S68" s="99" t="str">
        <f t="shared" si="24"/>
        <v>-</v>
      </c>
      <c r="T68" s="100" t="str">
        <f>IF(G68&gt;0,((P68/G68)^(1/3))-1,"-")</f>
        <v>-</v>
      </c>
      <c r="U68" s="119"/>
    </row>
    <row r="69" spans="1:21" ht="18" hidden="1">
      <c r="A69" s="938"/>
      <c r="B69" s="849" t="str">
        <f>+'Schedule 1 '!B35</f>
        <v>Details of statutory amounts</v>
      </c>
      <c r="C69" s="251"/>
      <c r="D69" s="939">
        <f>+'Schedule 1 '!D35</f>
        <v>0</v>
      </c>
      <c r="E69" s="939">
        <f>+'Schedule 1 '!E35</f>
        <v>0</v>
      </c>
      <c r="F69" s="533">
        <f>+'Schedule 1 '!F35</f>
        <v>0</v>
      </c>
      <c r="G69" s="923">
        <f>+'Schedule 1 '!G35</f>
        <v>0</v>
      </c>
      <c r="H69" s="271">
        <f>+'Schedule 1 '!H35</f>
        <v>0</v>
      </c>
      <c r="I69" s="536">
        <f>+'Schedule 1 '!I35</f>
        <v>0</v>
      </c>
      <c r="J69" s="270">
        <f>+'Schedule 1 '!J35</f>
        <v>0</v>
      </c>
      <c r="K69" s="271">
        <f>+'Schedule 1 '!K35</f>
        <v>0</v>
      </c>
      <c r="L69" s="536">
        <f>+'Schedule 1 '!L35</f>
        <v>0</v>
      </c>
      <c r="M69" s="956">
        <f>+'Schedule 1 '!M35</f>
        <v>0</v>
      </c>
      <c r="N69" s="271">
        <f>+'Schedule 1 '!N35</f>
        <v>0</v>
      </c>
      <c r="O69" s="546">
        <f>+'Schedule 1 '!O35</f>
        <v>0</v>
      </c>
      <c r="P69" s="957">
        <f>+'Schedule 1 '!P35</f>
        <v>0</v>
      </c>
      <c r="Q69" s="214"/>
      <c r="R69" s="173"/>
      <c r="S69" s="104" t="str">
        <f t="shared" si="24"/>
        <v>-</v>
      </c>
      <c r="T69" s="105" t="str">
        <f>IF(G69&gt;0,((P69/G69)^(1/3))-1,"-")</f>
        <v>-</v>
      </c>
      <c r="U69" s="119"/>
    </row>
    <row r="70" spans="1:21" ht="18" hidden="1">
      <c r="A70" s="938"/>
      <c r="B70" s="849" t="str">
        <f>+'Schedule 1 '!B36</f>
        <v>Details of statutory amounts</v>
      </c>
      <c r="C70" s="173"/>
      <c r="D70" s="940">
        <f>+'Schedule 1 '!D36</f>
        <v>0</v>
      </c>
      <c r="E70" s="940">
        <f>+'Schedule 1 '!E36</f>
        <v>0</v>
      </c>
      <c r="F70" s="542">
        <f>+'Schedule 1 '!F36</f>
        <v>0</v>
      </c>
      <c r="G70" s="941">
        <f>+'Schedule 1 '!G36</f>
        <v>0</v>
      </c>
      <c r="H70" s="277">
        <f>+'Schedule 1 '!H36</f>
        <v>0</v>
      </c>
      <c r="I70" s="545">
        <f>+'Schedule 1 '!I36</f>
        <v>0</v>
      </c>
      <c r="J70" s="276">
        <f>+'Schedule 1 '!J36</f>
        <v>0</v>
      </c>
      <c r="K70" s="277">
        <f>+'Schedule 1 '!K36</f>
        <v>0</v>
      </c>
      <c r="L70" s="545">
        <f>+'Schedule 1 '!L36</f>
        <v>0</v>
      </c>
      <c r="M70" s="276">
        <f>+'Schedule 1 '!M36</f>
        <v>0</v>
      </c>
      <c r="N70" s="277">
        <f>+'Schedule 1 '!N36</f>
        <v>0</v>
      </c>
      <c r="O70" s="545">
        <f>+'Schedule 1 '!O36</f>
        <v>0</v>
      </c>
      <c r="P70" s="281">
        <f>+'Schedule 1 '!P36</f>
        <v>0</v>
      </c>
      <c r="Q70" s="214"/>
      <c r="R70" s="173"/>
      <c r="S70" s="109" t="str">
        <f t="shared" si="24"/>
        <v>-</v>
      </c>
      <c r="T70" s="110" t="str">
        <f>IF(G70&gt;0,((P70/G70)^(1/3))-1,"-")</f>
        <v>-</v>
      </c>
      <c r="U70" s="119"/>
    </row>
    <row r="71" spans="1:21" ht="4.5" customHeight="1" hidden="1" thickBot="1">
      <c r="A71" s="942"/>
      <c r="B71" s="943"/>
      <c r="C71" s="944"/>
      <c r="D71" s="250"/>
      <c r="E71" s="250"/>
      <c r="F71" s="173"/>
      <c r="G71" s="252"/>
      <c r="H71" s="253"/>
      <c r="I71" s="250"/>
      <c r="J71" s="250"/>
      <c r="K71" s="253"/>
      <c r="L71" s="250"/>
      <c r="M71" s="255"/>
      <c r="N71" s="253"/>
      <c r="O71" s="250"/>
      <c r="P71" s="251"/>
      <c r="Q71" s="214"/>
      <c r="R71" s="173"/>
      <c r="S71" s="84"/>
      <c r="T71" s="85"/>
      <c r="U71" s="119"/>
    </row>
    <row r="72" spans="1:21" ht="30" customHeight="1" hidden="1" thickBot="1">
      <c r="A72" s="295" t="s">
        <v>4</v>
      </c>
      <c r="B72" s="296"/>
      <c r="C72" s="945"/>
      <c r="D72" s="298">
        <f>+D67+D68</f>
        <v>10717267</v>
      </c>
      <c r="E72" s="298">
        <f aca="true" t="shared" si="30" ref="E72:J72">+E67+E68</f>
        <v>13932091</v>
      </c>
      <c r="F72" s="958">
        <f t="shared" si="30"/>
        <v>16052950</v>
      </c>
      <c r="G72" s="300">
        <f t="shared" si="30"/>
        <v>18414380</v>
      </c>
      <c r="H72" s="301">
        <f t="shared" si="30"/>
        <v>19338538</v>
      </c>
      <c r="I72" s="298">
        <f t="shared" si="30"/>
        <v>0</v>
      </c>
      <c r="J72" s="298">
        <f t="shared" si="30"/>
        <v>19338538</v>
      </c>
      <c r="K72" s="301">
        <f aca="true" t="shared" si="31" ref="K72:P72">+K67+K68</f>
        <v>19883045</v>
      </c>
      <c r="L72" s="298">
        <f t="shared" si="31"/>
        <v>0</v>
      </c>
      <c r="M72" s="299">
        <f t="shared" si="31"/>
        <v>19883045</v>
      </c>
      <c r="N72" s="301">
        <f t="shared" si="31"/>
        <v>21015214</v>
      </c>
      <c r="O72" s="298">
        <f t="shared" si="31"/>
        <v>0</v>
      </c>
      <c r="P72" s="302">
        <f t="shared" si="31"/>
        <v>21015214</v>
      </c>
      <c r="Q72" s="303"/>
      <c r="R72" s="119"/>
      <c r="S72" s="170">
        <f t="shared" si="24"/>
        <v>0.1977265689144907</v>
      </c>
      <c r="T72" s="304">
        <f>IF(G72&gt;0,((P72/G72)^(1/3))-1,"-")</f>
        <v>0.04502233336293582</v>
      </c>
      <c r="U72" s="119"/>
    </row>
    <row r="73" ht="18.75" thickTop="1"/>
    <row r="74" spans="4:16" ht="18">
      <c r="D74" s="111">
        <f aca="true" t="shared" si="32" ref="D74:P74">+D67-D50</f>
        <v>0</v>
      </c>
      <c r="E74" s="111">
        <f t="shared" si="32"/>
        <v>0</v>
      </c>
      <c r="F74" s="111">
        <f t="shared" si="32"/>
        <v>0</v>
      </c>
      <c r="G74" s="111">
        <f t="shared" si="32"/>
        <v>0</v>
      </c>
      <c r="H74" s="111">
        <f t="shared" si="32"/>
        <v>0</v>
      </c>
      <c r="I74" s="111">
        <f t="shared" si="32"/>
        <v>0</v>
      </c>
      <c r="J74" s="111">
        <f t="shared" si="32"/>
        <v>0</v>
      </c>
      <c r="K74" s="111">
        <f t="shared" si="32"/>
        <v>0</v>
      </c>
      <c r="L74" s="111">
        <f t="shared" si="32"/>
        <v>0</v>
      </c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</row>
    <row r="75" ht="18">
      <c r="G75" s="111"/>
    </row>
  </sheetData>
  <sheetProtection password="CA7F" sheet="1" objects="1" scenarios="1"/>
  <mergeCells count="2">
    <mergeCell ref="D5:F5"/>
    <mergeCell ref="H5:Q5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G142"/>
  <sheetViews>
    <sheetView view="pageBreakPreview" zoomScale="60" zoomScaleNormal="60" workbookViewId="0" topLeftCell="I116">
      <selection activeCell="N129" sqref="N129:N139"/>
    </sheetView>
  </sheetViews>
  <sheetFormatPr defaultColWidth="9.140625" defaultRowHeight="12.75"/>
  <cols>
    <col min="1" max="1" width="58.7109375" style="473" customWidth="1"/>
    <col min="2" max="2" width="35.7109375" style="473" customWidth="1"/>
    <col min="3" max="3" width="1.7109375" style="473" customWidth="1"/>
    <col min="4" max="6" width="15.7109375" style="473" customWidth="1"/>
    <col min="7" max="7" width="15.7109375" style="483" customWidth="1"/>
    <col min="8" max="16" width="15.7109375" style="473" customWidth="1"/>
    <col min="17" max="17" width="1.7109375" style="473" customWidth="1"/>
    <col min="18" max="18" width="1.8515625" style="473" customWidth="1"/>
    <col min="19" max="16384" width="10.28125" style="473" customWidth="1"/>
  </cols>
  <sheetData>
    <row r="1" spans="1:17" ht="24.75">
      <c r="A1" s="1045" t="str">
        <f>'Schedule 1 '!A1</f>
        <v>VOTE:  21  DEFENCE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</row>
    <row r="2" spans="1:189" ht="18" customHeight="1">
      <c r="A2" s="477"/>
      <c r="B2" s="477"/>
      <c r="C2" s="477"/>
      <c r="D2" s="477"/>
      <c r="E2" s="477"/>
      <c r="F2" s="477"/>
      <c r="G2" s="525"/>
      <c r="H2" s="477"/>
      <c r="I2" s="477"/>
      <c r="J2" s="477"/>
      <c r="K2" s="477"/>
      <c r="L2" s="477"/>
      <c r="M2" s="477"/>
      <c r="N2" s="477"/>
      <c r="O2" s="477"/>
      <c r="P2" s="477"/>
      <c r="Q2" s="245" t="s">
        <v>142</v>
      </c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477"/>
      <c r="FM2" s="477"/>
      <c r="FN2" s="477"/>
      <c r="FO2" s="477"/>
      <c r="FP2" s="477"/>
      <c r="FQ2" s="477"/>
      <c r="FR2" s="477"/>
      <c r="FS2" s="477"/>
      <c r="FT2" s="477"/>
      <c r="FU2" s="477"/>
      <c r="FV2" s="477"/>
      <c r="FW2" s="477"/>
      <c r="FX2" s="477"/>
      <c r="FY2" s="477"/>
      <c r="FZ2" s="477"/>
      <c r="GA2" s="477"/>
      <c r="GB2" s="477"/>
      <c r="GC2" s="477"/>
      <c r="GD2" s="477"/>
      <c r="GE2" s="477"/>
      <c r="GF2" s="477"/>
      <c r="GG2" s="477"/>
    </row>
    <row r="3" spans="1:189" ht="21.75" customHeight="1">
      <c r="A3" s="1046" t="s">
        <v>141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  <c r="BO3" s="526"/>
      <c r="BP3" s="526"/>
      <c r="BQ3" s="526"/>
      <c r="BR3" s="526"/>
      <c r="BS3" s="526"/>
      <c r="BT3" s="526"/>
      <c r="BU3" s="526"/>
      <c r="BV3" s="526"/>
      <c r="BW3" s="526"/>
      <c r="BX3" s="526"/>
      <c r="BY3" s="526"/>
      <c r="BZ3" s="526"/>
      <c r="CA3" s="526"/>
      <c r="CB3" s="526"/>
      <c r="CC3" s="526"/>
      <c r="CD3" s="526"/>
      <c r="CE3" s="526"/>
      <c r="CF3" s="526"/>
      <c r="CG3" s="526"/>
      <c r="CH3" s="526"/>
      <c r="CI3" s="526"/>
      <c r="CJ3" s="526"/>
      <c r="CK3" s="526"/>
      <c r="CL3" s="526"/>
      <c r="CM3" s="526"/>
      <c r="CN3" s="526"/>
      <c r="CO3" s="526"/>
      <c r="CP3" s="526"/>
      <c r="CQ3" s="526"/>
      <c r="CR3" s="526"/>
      <c r="CS3" s="526"/>
      <c r="CT3" s="526"/>
      <c r="CU3" s="526"/>
      <c r="CV3" s="526"/>
      <c r="CW3" s="526"/>
      <c r="CX3" s="526"/>
      <c r="CY3" s="526"/>
      <c r="CZ3" s="526"/>
      <c r="DA3" s="526"/>
      <c r="DB3" s="526"/>
      <c r="DC3" s="526"/>
      <c r="DD3" s="526"/>
      <c r="DE3" s="526"/>
      <c r="DF3" s="526"/>
      <c r="DG3" s="526"/>
      <c r="DH3" s="526"/>
      <c r="DI3" s="526"/>
      <c r="DJ3" s="526"/>
      <c r="DK3" s="526"/>
      <c r="DL3" s="526"/>
      <c r="DM3" s="526"/>
      <c r="DN3" s="526"/>
      <c r="DO3" s="526"/>
      <c r="DP3" s="526"/>
      <c r="DQ3" s="526"/>
      <c r="DR3" s="526"/>
      <c r="DS3" s="526"/>
      <c r="DT3" s="526"/>
      <c r="DU3" s="526"/>
      <c r="DV3" s="526"/>
      <c r="DW3" s="526"/>
      <c r="DX3" s="526"/>
      <c r="DY3" s="526"/>
      <c r="DZ3" s="526"/>
      <c r="EA3" s="526"/>
      <c r="EB3" s="526"/>
      <c r="EC3" s="526"/>
      <c r="ED3" s="526"/>
      <c r="EE3" s="526"/>
      <c r="EF3" s="526"/>
      <c r="EG3" s="526"/>
      <c r="EH3" s="526"/>
      <c r="EI3" s="526"/>
      <c r="EJ3" s="526"/>
      <c r="EK3" s="526"/>
      <c r="EL3" s="526"/>
      <c r="EM3" s="526"/>
      <c r="EN3" s="526"/>
      <c r="EO3" s="526"/>
      <c r="EP3" s="526"/>
      <c r="EQ3" s="526"/>
      <c r="ER3" s="526"/>
      <c r="ES3" s="526"/>
      <c r="ET3" s="526"/>
      <c r="EU3" s="526"/>
      <c r="EV3" s="526"/>
      <c r="EW3" s="526"/>
      <c r="EX3" s="526"/>
      <c r="EY3" s="526"/>
      <c r="EZ3" s="526"/>
      <c r="FA3" s="526"/>
      <c r="FB3" s="526"/>
      <c r="FC3" s="526"/>
      <c r="FD3" s="526"/>
      <c r="FE3" s="526"/>
      <c r="FF3" s="526"/>
      <c r="FG3" s="526"/>
      <c r="FH3" s="526"/>
      <c r="FI3" s="526"/>
      <c r="FJ3" s="526"/>
      <c r="FK3" s="526"/>
      <c r="FL3" s="526"/>
      <c r="FM3" s="526"/>
      <c r="FN3" s="526"/>
      <c r="FO3" s="526"/>
      <c r="FP3" s="526"/>
      <c r="FQ3" s="526"/>
      <c r="FR3" s="526"/>
      <c r="FS3" s="526"/>
      <c r="FT3" s="526"/>
      <c r="FU3" s="526"/>
      <c r="FV3" s="526"/>
      <c r="FW3" s="526"/>
      <c r="FX3" s="526"/>
      <c r="FY3" s="526"/>
      <c r="FZ3" s="526"/>
      <c r="GA3" s="526"/>
      <c r="GB3" s="526"/>
      <c r="GC3" s="526"/>
      <c r="GD3" s="526"/>
      <c r="GE3" s="526"/>
      <c r="GF3" s="526"/>
      <c r="GG3" s="526"/>
    </row>
    <row r="4" spans="1:16" ht="18" customHeight="1" thickBot="1">
      <c r="A4" s="459"/>
      <c r="B4" s="459"/>
      <c r="C4" s="459"/>
      <c r="D4" s="483"/>
      <c r="E4" s="483"/>
      <c r="F4" s="483"/>
      <c r="H4" s="483"/>
      <c r="I4" s="483"/>
      <c r="J4" s="483"/>
      <c r="K4" s="483"/>
      <c r="L4" s="483"/>
      <c r="M4" s="483"/>
      <c r="N4" s="483"/>
      <c r="O4" s="483"/>
      <c r="P4" s="483"/>
    </row>
    <row r="5" spans="1:17" s="550" customFormat="1" ht="18" customHeight="1" thickTop="1">
      <c r="A5" s="305"/>
      <c r="B5" s="306"/>
      <c r="C5" s="307"/>
      <c r="D5" s="308"/>
      <c r="E5" s="308"/>
      <c r="F5" s="307"/>
      <c r="G5" s="309"/>
      <c r="H5" s="306"/>
      <c r="I5" s="306"/>
      <c r="J5" s="306"/>
      <c r="K5" s="306"/>
      <c r="L5" s="306"/>
      <c r="M5" s="306"/>
      <c r="N5" s="306"/>
      <c r="O5" s="306"/>
      <c r="P5" s="306"/>
      <c r="Q5" s="310"/>
    </row>
    <row r="6" spans="1:17" s="550" customFormat="1" ht="18" customHeight="1">
      <c r="A6" s="311"/>
      <c r="B6" s="312"/>
      <c r="C6" s="313"/>
      <c r="D6" s="314"/>
      <c r="E6" s="314"/>
      <c r="F6" s="315"/>
      <c r="G6" s="316"/>
      <c r="H6" s="317" t="s">
        <v>7</v>
      </c>
      <c r="I6" s="317"/>
      <c r="J6" s="317"/>
      <c r="K6" s="317"/>
      <c r="L6" s="317"/>
      <c r="M6" s="317"/>
      <c r="N6" s="317"/>
      <c r="O6" s="317"/>
      <c r="P6" s="317"/>
      <c r="Q6" s="318"/>
    </row>
    <row r="7" spans="1:17" s="550" customFormat="1" ht="18" customHeight="1" thickBot="1">
      <c r="A7" s="311"/>
      <c r="B7" s="312"/>
      <c r="C7" s="313"/>
      <c r="D7" s="314"/>
      <c r="E7" s="314"/>
      <c r="F7" s="315"/>
      <c r="G7" s="316"/>
      <c r="H7" s="319"/>
      <c r="I7" s="319"/>
      <c r="J7" s="319"/>
      <c r="K7" s="319"/>
      <c r="L7" s="319"/>
      <c r="M7" s="319"/>
      <c r="N7" s="319"/>
      <c r="O7" s="319"/>
      <c r="P7" s="319"/>
      <c r="Q7" s="318"/>
    </row>
    <row r="8" spans="1:17" s="550" customFormat="1" ht="18" customHeight="1">
      <c r="A8" s="320"/>
      <c r="B8" s="317" t="s">
        <v>81</v>
      </c>
      <c r="C8" s="313"/>
      <c r="D8" s="321" t="s">
        <v>105</v>
      </c>
      <c r="E8" s="322" t="s">
        <v>0</v>
      </c>
      <c r="F8" s="322" t="s">
        <v>1</v>
      </c>
      <c r="G8" s="323" t="s">
        <v>2</v>
      </c>
      <c r="H8" s="324"/>
      <c r="I8" s="324"/>
      <c r="J8" s="325"/>
      <c r="K8" s="326"/>
      <c r="L8" s="324"/>
      <c r="M8" s="325"/>
      <c r="N8" s="326"/>
      <c r="O8" s="324"/>
      <c r="P8" s="324"/>
      <c r="Q8" s="327"/>
    </row>
    <row r="9" spans="1:17" s="550" customFormat="1" ht="18" customHeight="1">
      <c r="A9" s="311"/>
      <c r="B9" s="312"/>
      <c r="C9" s="313"/>
      <c r="D9" s="34" t="s">
        <v>61</v>
      </c>
      <c r="E9" s="34" t="s">
        <v>61</v>
      </c>
      <c r="F9" s="35" t="s">
        <v>82</v>
      </c>
      <c r="G9" s="36" t="s">
        <v>7</v>
      </c>
      <c r="H9" s="328" t="s">
        <v>3</v>
      </c>
      <c r="I9" s="328"/>
      <c r="J9" s="329"/>
      <c r="K9" s="330" t="s">
        <v>15</v>
      </c>
      <c r="L9" s="328"/>
      <c r="M9" s="329"/>
      <c r="N9" s="330" t="s">
        <v>71</v>
      </c>
      <c r="O9" s="328"/>
      <c r="P9" s="317"/>
      <c r="Q9" s="331"/>
    </row>
    <row r="10" spans="1:17" s="550" customFormat="1" ht="18" customHeight="1" thickBot="1">
      <c r="A10" s="332"/>
      <c r="B10" s="319"/>
      <c r="C10" s="315"/>
      <c r="D10" s="34"/>
      <c r="E10" s="34"/>
      <c r="F10" s="46" t="s">
        <v>83</v>
      </c>
      <c r="G10" s="36" t="s">
        <v>13</v>
      </c>
      <c r="H10" s="333"/>
      <c r="I10" s="333"/>
      <c r="J10" s="334"/>
      <c r="K10" s="335"/>
      <c r="L10" s="333"/>
      <c r="M10" s="334"/>
      <c r="N10" s="335"/>
      <c r="O10" s="333"/>
      <c r="P10" s="333"/>
      <c r="Q10" s="334"/>
    </row>
    <row r="11" spans="1:17" s="550" customFormat="1" ht="18" customHeight="1">
      <c r="A11" s="332"/>
      <c r="B11" s="319"/>
      <c r="C11" s="315"/>
      <c r="D11" s="34"/>
      <c r="E11" s="34"/>
      <c r="F11" s="46" t="s">
        <v>62</v>
      </c>
      <c r="G11" s="36" t="s">
        <v>58</v>
      </c>
      <c r="H11" s="336"/>
      <c r="I11" s="337"/>
      <c r="J11" s="338"/>
      <c r="K11" s="339"/>
      <c r="L11" s="337"/>
      <c r="M11" s="338"/>
      <c r="N11" s="339"/>
      <c r="O11" s="337"/>
      <c r="P11" s="340"/>
      <c r="Q11" s="341"/>
    </row>
    <row r="12" spans="1:17" s="550" customFormat="1" ht="18" customHeight="1">
      <c r="A12" s="332"/>
      <c r="B12" s="319"/>
      <c r="C12" s="315"/>
      <c r="D12" s="34"/>
      <c r="E12" s="34"/>
      <c r="F12" s="46" t="s">
        <v>157</v>
      </c>
      <c r="G12" s="342"/>
      <c r="H12" s="37" t="s">
        <v>7</v>
      </c>
      <c r="I12" s="38" t="s">
        <v>8</v>
      </c>
      <c r="J12" s="38" t="s">
        <v>9</v>
      </c>
      <c r="K12" s="37" t="s">
        <v>7</v>
      </c>
      <c r="L12" s="38" t="s">
        <v>8</v>
      </c>
      <c r="M12" s="39" t="s">
        <v>9</v>
      </c>
      <c r="N12" s="37" t="s">
        <v>7</v>
      </c>
      <c r="O12" s="38" t="s">
        <v>8</v>
      </c>
      <c r="P12" s="46" t="s">
        <v>9</v>
      </c>
      <c r="Q12" s="343"/>
    </row>
    <row r="13" spans="1:17" s="550" customFormat="1" ht="18" customHeight="1">
      <c r="A13" s="332"/>
      <c r="B13" s="319"/>
      <c r="C13" s="315"/>
      <c r="D13" s="344"/>
      <c r="E13" s="344"/>
      <c r="F13" s="313"/>
      <c r="G13" s="342"/>
      <c r="H13" s="37" t="s">
        <v>13</v>
      </c>
      <c r="I13" s="38" t="s">
        <v>11</v>
      </c>
      <c r="J13" s="38" t="s">
        <v>12</v>
      </c>
      <c r="K13" s="37" t="s">
        <v>13</v>
      </c>
      <c r="L13" s="38" t="s">
        <v>11</v>
      </c>
      <c r="M13" s="39" t="s">
        <v>12</v>
      </c>
      <c r="N13" s="37" t="s">
        <v>13</v>
      </c>
      <c r="O13" s="38" t="s">
        <v>11</v>
      </c>
      <c r="P13" s="46" t="s">
        <v>12</v>
      </c>
      <c r="Q13" s="345"/>
    </row>
    <row r="14" spans="1:17" s="550" customFormat="1" ht="18" customHeight="1">
      <c r="A14" s="332"/>
      <c r="B14" s="319"/>
      <c r="C14" s="315"/>
      <c r="D14" s="346"/>
      <c r="E14" s="346"/>
      <c r="F14" s="347"/>
      <c r="G14" s="348"/>
      <c r="H14" s="49" t="s">
        <v>58</v>
      </c>
      <c r="I14" s="38" t="s">
        <v>13</v>
      </c>
      <c r="J14" s="38" t="s">
        <v>13</v>
      </c>
      <c r="K14" s="49" t="s">
        <v>58</v>
      </c>
      <c r="L14" s="38" t="s">
        <v>13</v>
      </c>
      <c r="M14" s="39" t="s">
        <v>13</v>
      </c>
      <c r="N14" s="37" t="s">
        <v>136</v>
      </c>
      <c r="O14" s="38" t="s">
        <v>13</v>
      </c>
      <c r="P14" s="46" t="s">
        <v>13</v>
      </c>
      <c r="Q14" s="349"/>
    </row>
    <row r="15" spans="1:17" s="550" customFormat="1" ht="18" customHeight="1">
      <c r="A15" s="332"/>
      <c r="B15" s="319"/>
      <c r="C15" s="315"/>
      <c r="D15" s="346"/>
      <c r="E15" s="346"/>
      <c r="F15" s="347"/>
      <c r="G15" s="348"/>
      <c r="H15" s="49"/>
      <c r="I15" s="38"/>
      <c r="J15" s="38"/>
      <c r="K15" s="49"/>
      <c r="L15" s="38"/>
      <c r="M15" s="39"/>
      <c r="N15" s="53" t="s">
        <v>63</v>
      </c>
      <c r="O15" s="38"/>
      <c r="P15" s="46"/>
      <c r="Q15" s="349"/>
    </row>
    <row r="16" spans="1:17" s="550" customFormat="1" ht="18" customHeight="1">
      <c r="A16" s="332"/>
      <c r="B16" s="319"/>
      <c r="C16" s="315"/>
      <c r="D16" s="346"/>
      <c r="E16" s="346"/>
      <c r="F16" s="347"/>
      <c r="G16" s="348"/>
      <c r="H16" s="344"/>
      <c r="I16" s="350"/>
      <c r="J16" s="351"/>
      <c r="K16" s="352"/>
      <c r="L16" s="350"/>
      <c r="M16" s="351"/>
      <c r="N16" s="311"/>
      <c r="O16" s="350"/>
      <c r="P16" s="313"/>
      <c r="Q16" s="349"/>
    </row>
    <row r="17" spans="1:17" s="551" customFormat="1" ht="18" customHeight="1" thickBot="1">
      <c r="A17" s="353">
        <v>-1</v>
      </c>
      <c r="B17" s="354">
        <f>+A17-1</f>
        <v>-2</v>
      </c>
      <c r="C17" s="355"/>
      <c r="D17" s="356">
        <f>B17-1</f>
        <v>-3</v>
      </c>
      <c r="E17" s="356">
        <f>+D17-1</f>
        <v>-4</v>
      </c>
      <c r="F17" s="357">
        <f aca="true" t="shared" si="0" ref="F17:P17">E17-1</f>
        <v>-5</v>
      </c>
      <c r="G17" s="358">
        <f t="shared" si="0"/>
        <v>-6</v>
      </c>
      <c r="H17" s="356">
        <f t="shared" si="0"/>
        <v>-7</v>
      </c>
      <c r="I17" s="65">
        <f t="shared" si="0"/>
        <v>-8</v>
      </c>
      <c r="J17" s="66">
        <f t="shared" si="0"/>
        <v>-9</v>
      </c>
      <c r="K17" s="64">
        <f>J17-1</f>
        <v>-10</v>
      </c>
      <c r="L17" s="65">
        <f t="shared" si="0"/>
        <v>-11</v>
      </c>
      <c r="M17" s="66">
        <f t="shared" si="0"/>
        <v>-12</v>
      </c>
      <c r="N17" s="64">
        <f>M17-1</f>
        <v>-13</v>
      </c>
      <c r="O17" s="65">
        <f t="shared" si="0"/>
        <v>-14</v>
      </c>
      <c r="P17" s="357">
        <f t="shared" si="0"/>
        <v>-15</v>
      </c>
      <c r="Q17" s="359"/>
    </row>
    <row r="18" spans="1:17" ht="18" customHeight="1">
      <c r="A18" s="253"/>
      <c r="B18" s="173"/>
      <c r="C18" s="251"/>
      <c r="D18" s="215" t="s">
        <v>6</v>
      </c>
      <c r="E18" s="215" t="s">
        <v>6</v>
      </c>
      <c r="F18" s="217" t="s">
        <v>6</v>
      </c>
      <c r="G18" s="360" t="s">
        <v>6</v>
      </c>
      <c r="H18" s="215" t="s">
        <v>6</v>
      </c>
      <c r="I18" s="196" t="s">
        <v>6</v>
      </c>
      <c r="J18" s="216" t="s">
        <v>6</v>
      </c>
      <c r="K18" s="195" t="s">
        <v>6</v>
      </c>
      <c r="L18" s="196" t="s">
        <v>6</v>
      </c>
      <c r="M18" s="216" t="s">
        <v>6</v>
      </c>
      <c r="N18" s="195" t="s">
        <v>6</v>
      </c>
      <c r="O18" s="196" t="s">
        <v>6</v>
      </c>
      <c r="P18" s="217" t="s">
        <v>6</v>
      </c>
      <c r="Q18" s="214"/>
    </row>
    <row r="19" spans="1:17" ht="18" customHeight="1">
      <c r="A19" s="253"/>
      <c r="B19" s="173"/>
      <c r="C19" s="251"/>
      <c r="D19" s="250"/>
      <c r="E19" s="251"/>
      <c r="F19" s="251"/>
      <c r="G19" s="252"/>
      <c r="H19" s="250"/>
      <c r="I19" s="251"/>
      <c r="J19" s="255"/>
      <c r="K19" s="253"/>
      <c r="L19" s="251"/>
      <c r="M19" s="255"/>
      <c r="N19" s="253"/>
      <c r="O19" s="251"/>
      <c r="P19" s="251"/>
      <c r="Q19" s="214"/>
    </row>
    <row r="20" spans="1:17" ht="18" customHeight="1">
      <c r="A20" s="253"/>
      <c r="B20" s="173"/>
      <c r="C20" s="251"/>
      <c r="D20" s="250"/>
      <c r="E20" s="251"/>
      <c r="F20" s="251"/>
      <c r="G20" s="252"/>
      <c r="H20" s="250"/>
      <c r="I20" s="251"/>
      <c r="J20" s="255"/>
      <c r="K20" s="253"/>
      <c r="L20" s="251"/>
      <c r="M20" s="255"/>
      <c r="N20" s="253"/>
      <c r="O20" s="251"/>
      <c r="P20" s="251"/>
      <c r="Q20" s="214"/>
    </row>
    <row r="21" spans="1:17" ht="18" customHeight="1">
      <c r="A21" s="474" t="s">
        <v>14</v>
      </c>
      <c r="B21" s="173"/>
      <c r="C21" s="528"/>
      <c r="D21" s="527"/>
      <c r="E21" s="528"/>
      <c r="F21" s="528"/>
      <c r="G21" s="529"/>
      <c r="H21" s="527"/>
      <c r="I21" s="528"/>
      <c r="J21" s="531"/>
      <c r="K21" s="530"/>
      <c r="L21" s="528"/>
      <c r="M21" s="531"/>
      <c r="N21" s="530"/>
      <c r="O21" s="528"/>
      <c r="P21" s="528"/>
      <c r="Q21" s="492"/>
    </row>
    <row r="22" spans="1:17" ht="18" customHeight="1">
      <c r="A22" s="552" t="s">
        <v>183</v>
      </c>
      <c r="B22" s="173"/>
      <c r="C22" s="528"/>
      <c r="D22" s="527"/>
      <c r="E22" s="528"/>
      <c r="F22" s="528"/>
      <c r="G22" s="529"/>
      <c r="H22" s="527"/>
      <c r="I22" s="528"/>
      <c r="J22" s="531"/>
      <c r="K22" s="530"/>
      <c r="L22" s="528"/>
      <c r="M22" s="531"/>
      <c r="N22" s="530"/>
      <c r="O22" s="528"/>
      <c r="P22" s="528"/>
      <c r="Q22" s="492"/>
    </row>
    <row r="23" spans="1:17" ht="18" customHeight="1">
      <c r="A23" s="552" t="s">
        <v>184</v>
      </c>
      <c r="B23" s="173"/>
      <c r="C23" s="528"/>
      <c r="D23" s="112">
        <f aca="true" t="shared" si="1" ref="D23:J23">SUM(D24:D34)</f>
        <v>0</v>
      </c>
      <c r="E23" s="113">
        <f t="shared" si="1"/>
        <v>0</v>
      </c>
      <c r="F23" s="113">
        <f t="shared" si="1"/>
        <v>0</v>
      </c>
      <c r="G23" s="114">
        <f t="shared" si="1"/>
        <v>0</v>
      </c>
      <c r="H23" s="112">
        <f t="shared" si="1"/>
        <v>0</v>
      </c>
      <c r="I23" s="113">
        <f t="shared" si="1"/>
        <v>0</v>
      </c>
      <c r="J23" s="117">
        <f t="shared" si="1"/>
        <v>0</v>
      </c>
      <c r="K23" s="115">
        <f aca="true" t="shared" si="2" ref="K23:P23">SUM(K24:K34)</f>
        <v>0</v>
      </c>
      <c r="L23" s="113">
        <f t="shared" si="2"/>
        <v>0</v>
      </c>
      <c r="M23" s="117">
        <f t="shared" si="2"/>
        <v>0</v>
      </c>
      <c r="N23" s="115">
        <f t="shared" si="2"/>
        <v>0</v>
      </c>
      <c r="O23" s="113">
        <f t="shared" si="2"/>
        <v>0</v>
      </c>
      <c r="P23" s="113">
        <f t="shared" si="2"/>
        <v>0</v>
      </c>
      <c r="Q23" s="118"/>
    </row>
    <row r="24" spans="1:17" ht="18" customHeight="1">
      <c r="A24" s="530"/>
      <c r="B24" s="173" t="s">
        <v>84</v>
      </c>
      <c r="C24" s="528"/>
      <c r="D24" s="532">
        <v>0</v>
      </c>
      <c r="E24" s="532">
        <v>0</v>
      </c>
      <c r="F24" s="533">
        <v>0</v>
      </c>
      <c r="G24" s="534">
        <v>0</v>
      </c>
      <c r="H24" s="535">
        <v>0</v>
      </c>
      <c r="I24" s="536">
        <v>0</v>
      </c>
      <c r="J24" s="270">
        <f aca="true" t="shared" si="3" ref="J24:J32">+H24+I24</f>
        <v>0</v>
      </c>
      <c r="K24" s="532">
        <v>0</v>
      </c>
      <c r="L24" s="536">
        <v>0</v>
      </c>
      <c r="M24" s="270">
        <f aca="true" t="shared" si="4" ref="M24:M32">+K24+L24</f>
        <v>0</v>
      </c>
      <c r="N24" s="271">
        <f>ROUND(+K24*1.06,0)</f>
        <v>0</v>
      </c>
      <c r="O24" s="536">
        <v>0</v>
      </c>
      <c r="P24" s="272">
        <f aca="true" t="shared" si="5" ref="P24:P32">+N24+O24</f>
        <v>0</v>
      </c>
      <c r="Q24" s="492"/>
    </row>
    <row r="25" spans="1:17" ht="18" customHeight="1">
      <c r="A25" s="530"/>
      <c r="B25" s="173" t="s">
        <v>85</v>
      </c>
      <c r="C25" s="528"/>
      <c r="D25" s="544">
        <v>0</v>
      </c>
      <c r="E25" s="544">
        <v>0</v>
      </c>
      <c r="F25" s="531">
        <v>0</v>
      </c>
      <c r="G25" s="529">
        <v>0</v>
      </c>
      <c r="H25" s="530">
        <v>0</v>
      </c>
      <c r="I25" s="528">
        <v>0</v>
      </c>
      <c r="J25" s="255">
        <f t="shared" si="3"/>
        <v>0</v>
      </c>
      <c r="K25" s="544">
        <v>0</v>
      </c>
      <c r="L25" s="528">
        <v>0</v>
      </c>
      <c r="M25" s="255">
        <f t="shared" si="4"/>
        <v>0</v>
      </c>
      <c r="N25" s="253">
        <f aca="true" t="shared" si="6" ref="N25:N32">ROUND(+K25*1.06,0)</f>
        <v>0</v>
      </c>
      <c r="O25" s="528">
        <v>0</v>
      </c>
      <c r="P25" s="280">
        <f t="shared" si="5"/>
        <v>0</v>
      </c>
      <c r="Q25" s="492"/>
    </row>
    <row r="26" spans="1:17" ht="18" customHeight="1">
      <c r="A26" s="530"/>
      <c r="B26" s="173" t="s">
        <v>86</v>
      </c>
      <c r="C26" s="528"/>
      <c r="D26" s="544">
        <v>0</v>
      </c>
      <c r="E26" s="544">
        <v>0</v>
      </c>
      <c r="F26" s="531">
        <v>0</v>
      </c>
      <c r="G26" s="529">
        <v>0</v>
      </c>
      <c r="H26" s="530">
        <v>0</v>
      </c>
      <c r="I26" s="528">
        <v>0</v>
      </c>
      <c r="J26" s="255">
        <f t="shared" si="3"/>
        <v>0</v>
      </c>
      <c r="K26" s="544">
        <v>0</v>
      </c>
      <c r="L26" s="528">
        <v>0</v>
      </c>
      <c r="M26" s="255">
        <f t="shared" si="4"/>
        <v>0</v>
      </c>
      <c r="N26" s="253">
        <f t="shared" si="6"/>
        <v>0</v>
      </c>
      <c r="O26" s="528">
        <v>0</v>
      </c>
      <c r="P26" s="280">
        <f t="shared" si="5"/>
        <v>0</v>
      </c>
      <c r="Q26" s="492"/>
    </row>
    <row r="27" spans="1:17" ht="18" customHeight="1">
      <c r="A27" s="530"/>
      <c r="B27" s="173" t="s">
        <v>87</v>
      </c>
      <c r="C27" s="528"/>
      <c r="D27" s="544">
        <v>0</v>
      </c>
      <c r="E27" s="544">
        <v>0</v>
      </c>
      <c r="F27" s="531">
        <v>0</v>
      </c>
      <c r="G27" s="529">
        <v>0</v>
      </c>
      <c r="H27" s="530">
        <v>0</v>
      </c>
      <c r="I27" s="528">
        <v>0</v>
      </c>
      <c r="J27" s="255">
        <f t="shared" si="3"/>
        <v>0</v>
      </c>
      <c r="K27" s="544">
        <v>0</v>
      </c>
      <c r="L27" s="528">
        <v>0</v>
      </c>
      <c r="M27" s="255">
        <f t="shared" si="4"/>
        <v>0</v>
      </c>
      <c r="N27" s="253">
        <f t="shared" si="6"/>
        <v>0</v>
      </c>
      <c r="O27" s="528">
        <v>0</v>
      </c>
      <c r="P27" s="280">
        <f t="shared" si="5"/>
        <v>0</v>
      </c>
      <c r="Q27" s="492"/>
    </row>
    <row r="28" spans="1:17" ht="18" customHeight="1">
      <c r="A28" s="530"/>
      <c r="B28" s="173" t="s">
        <v>88</v>
      </c>
      <c r="C28" s="528"/>
      <c r="D28" s="544">
        <v>0</v>
      </c>
      <c r="E28" s="544">
        <v>0</v>
      </c>
      <c r="F28" s="531">
        <v>0</v>
      </c>
      <c r="G28" s="529">
        <v>0</v>
      </c>
      <c r="H28" s="530">
        <v>0</v>
      </c>
      <c r="I28" s="528">
        <v>0</v>
      </c>
      <c r="J28" s="255">
        <f t="shared" si="3"/>
        <v>0</v>
      </c>
      <c r="K28" s="544">
        <v>0</v>
      </c>
      <c r="L28" s="528">
        <v>0</v>
      </c>
      <c r="M28" s="255">
        <f t="shared" si="4"/>
        <v>0</v>
      </c>
      <c r="N28" s="253">
        <f t="shared" si="6"/>
        <v>0</v>
      </c>
      <c r="O28" s="528">
        <v>0</v>
      </c>
      <c r="P28" s="280">
        <f t="shared" si="5"/>
        <v>0</v>
      </c>
      <c r="Q28" s="492"/>
    </row>
    <row r="29" spans="1:17" ht="18" customHeight="1">
      <c r="A29" s="530"/>
      <c r="B29" s="173" t="s">
        <v>89</v>
      </c>
      <c r="C29" s="528"/>
      <c r="D29" s="544">
        <v>0</v>
      </c>
      <c r="E29" s="544">
        <v>0</v>
      </c>
      <c r="F29" s="531">
        <v>0</v>
      </c>
      <c r="G29" s="529">
        <v>0</v>
      </c>
      <c r="H29" s="530">
        <v>0</v>
      </c>
      <c r="I29" s="528">
        <v>0</v>
      </c>
      <c r="J29" s="255">
        <f t="shared" si="3"/>
        <v>0</v>
      </c>
      <c r="K29" s="544">
        <v>0</v>
      </c>
      <c r="L29" s="528">
        <v>0</v>
      </c>
      <c r="M29" s="255">
        <f t="shared" si="4"/>
        <v>0</v>
      </c>
      <c r="N29" s="253">
        <f t="shared" si="6"/>
        <v>0</v>
      </c>
      <c r="O29" s="528">
        <v>0</v>
      </c>
      <c r="P29" s="280">
        <f t="shared" si="5"/>
        <v>0</v>
      </c>
      <c r="Q29" s="492"/>
    </row>
    <row r="30" spans="1:17" ht="18" customHeight="1">
      <c r="A30" s="530"/>
      <c r="B30" s="173" t="s">
        <v>90</v>
      </c>
      <c r="C30" s="528"/>
      <c r="D30" s="544">
        <v>0</v>
      </c>
      <c r="E30" s="544">
        <v>0</v>
      </c>
      <c r="F30" s="531">
        <v>0</v>
      </c>
      <c r="G30" s="529">
        <v>0</v>
      </c>
      <c r="H30" s="530">
        <v>0</v>
      </c>
      <c r="I30" s="528">
        <v>0</v>
      </c>
      <c r="J30" s="255">
        <f t="shared" si="3"/>
        <v>0</v>
      </c>
      <c r="K30" s="544">
        <v>0</v>
      </c>
      <c r="L30" s="528">
        <v>0</v>
      </c>
      <c r="M30" s="255">
        <f t="shared" si="4"/>
        <v>0</v>
      </c>
      <c r="N30" s="253">
        <f t="shared" si="6"/>
        <v>0</v>
      </c>
      <c r="O30" s="528">
        <v>0</v>
      </c>
      <c r="P30" s="280">
        <f t="shared" si="5"/>
        <v>0</v>
      </c>
      <c r="Q30" s="492"/>
    </row>
    <row r="31" spans="1:17" ht="18" customHeight="1">
      <c r="A31" s="530"/>
      <c r="B31" s="173" t="s">
        <v>91</v>
      </c>
      <c r="C31" s="528"/>
      <c r="D31" s="544">
        <v>0</v>
      </c>
      <c r="E31" s="544">
        <v>0</v>
      </c>
      <c r="F31" s="531">
        <v>0</v>
      </c>
      <c r="G31" s="529">
        <v>0</v>
      </c>
      <c r="H31" s="530">
        <v>0</v>
      </c>
      <c r="I31" s="528">
        <v>0</v>
      </c>
      <c r="J31" s="255">
        <f t="shared" si="3"/>
        <v>0</v>
      </c>
      <c r="K31" s="544">
        <v>0</v>
      </c>
      <c r="L31" s="528">
        <v>0</v>
      </c>
      <c r="M31" s="255">
        <f t="shared" si="4"/>
        <v>0</v>
      </c>
      <c r="N31" s="253">
        <f t="shared" si="6"/>
        <v>0</v>
      </c>
      <c r="O31" s="528">
        <v>0</v>
      </c>
      <c r="P31" s="280">
        <f t="shared" si="5"/>
        <v>0</v>
      </c>
      <c r="Q31" s="492"/>
    </row>
    <row r="32" spans="1:17" ht="18" customHeight="1">
      <c r="A32" s="530"/>
      <c r="B32" s="173" t="s">
        <v>92</v>
      </c>
      <c r="C32" s="528"/>
      <c r="D32" s="544">
        <v>0</v>
      </c>
      <c r="E32" s="544">
        <v>0</v>
      </c>
      <c r="F32" s="531">
        <v>0</v>
      </c>
      <c r="G32" s="529">
        <v>0</v>
      </c>
      <c r="H32" s="530">
        <v>0</v>
      </c>
      <c r="I32" s="528">
        <v>0</v>
      </c>
      <c r="J32" s="255">
        <f t="shared" si="3"/>
        <v>0</v>
      </c>
      <c r="K32" s="544">
        <v>0</v>
      </c>
      <c r="L32" s="528">
        <v>0</v>
      </c>
      <c r="M32" s="255">
        <f t="shared" si="4"/>
        <v>0</v>
      </c>
      <c r="N32" s="253">
        <f t="shared" si="6"/>
        <v>0</v>
      </c>
      <c r="O32" s="528">
        <v>0</v>
      </c>
      <c r="P32" s="280">
        <f t="shared" si="5"/>
        <v>0</v>
      </c>
      <c r="Q32" s="492"/>
    </row>
    <row r="33" spans="1:17" ht="18" customHeight="1">
      <c r="A33" s="530"/>
      <c r="B33" s="173"/>
      <c r="C33" s="528"/>
      <c r="D33" s="544"/>
      <c r="E33" s="544"/>
      <c r="F33" s="531"/>
      <c r="G33" s="529"/>
      <c r="H33" s="530"/>
      <c r="I33" s="528"/>
      <c r="J33" s="255"/>
      <c r="K33" s="544"/>
      <c r="L33" s="528"/>
      <c r="M33" s="255"/>
      <c r="N33" s="253"/>
      <c r="O33" s="528"/>
      <c r="P33" s="280"/>
      <c r="Q33" s="492"/>
    </row>
    <row r="34" spans="1:17" ht="18" customHeight="1">
      <c r="A34" s="530"/>
      <c r="B34" s="173" t="s">
        <v>93</v>
      </c>
      <c r="C34" s="528"/>
      <c r="D34" s="537">
        <v>0</v>
      </c>
      <c r="E34" s="537">
        <v>0</v>
      </c>
      <c r="F34" s="538">
        <v>0</v>
      </c>
      <c r="G34" s="539">
        <v>0</v>
      </c>
      <c r="H34" s="540">
        <v>0</v>
      </c>
      <c r="I34" s="541">
        <v>0</v>
      </c>
      <c r="J34" s="274">
        <f>+H34+I34</f>
        <v>0</v>
      </c>
      <c r="K34" s="537">
        <v>0</v>
      </c>
      <c r="L34" s="541">
        <v>0</v>
      </c>
      <c r="M34" s="274">
        <f>+K34+L34</f>
        <v>0</v>
      </c>
      <c r="N34" s="275">
        <f>ROUND(+K34*1.06,0)</f>
        <v>0</v>
      </c>
      <c r="O34" s="541">
        <v>0</v>
      </c>
      <c r="P34" s="278">
        <f>+N34+O34</f>
        <v>0</v>
      </c>
      <c r="Q34" s="492"/>
    </row>
    <row r="35" spans="1:17" ht="18" customHeight="1">
      <c r="A35" s="530"/>
      <c r="B35" s="173"/>
      <c r="C35" s="528"/>
      <c r="D35" s="527"/>
      <c r="E35" s="527"/>
      <c r="F35" s="531"/>
      <c r="G35" s="529"/>
      <c r="H35" s="530"/>
      <c r="I35" s="528"/>
      <c r="J35" s="531"/>
      <c r="K35" s="527"/>
      <c r="L35" s="528"/>
      <c r="M35" s="531"/>
      <c r="N35" s="530"/>
      <c r="O35" s="528"/>
      <c r="P35" s="528"/>
      <c r="Q35" s="492"/>
    </row>
    <row r="36" spans="1:17" ht="18" customHeight="1">
      <c r="A36" s="474" t="s">
        <v>14</v>
      </c>
      <c r="B36" s="173"/>
      <c r="C36" s="528"/>
      <c r="D36" s="527"/>
      <c r="E36" s="527"/>
      <c r="F36" s="531"/>
      <c r="G36" s="529"/>
      <c r="H36" s="530"/>
      <c r="I36" s="528"/>
      <c r="J36" s="531"/>
      <c r="K36" s="527"/>
      <c r="L36" s="528"/>
      <c r="M36" s="531"/>
      <c r="N36" s="530"/>
      <c r="O36" s="528"/>
      <c r="P36" s="528"/>
      <c r="Q36" s="492"/>
    </row>
    <row r="37" spans="1:17" ht="18" customHeight="1">
      <c r="A37" s="552" t="s">
        <v>183</v>
      </c>
      <c r="B37" s="173"/>
      <c r="C37" s="528"/>
      <c r="D37" s="527"/>
      <c r="E37" s="527"/>
      <c r="F37" s="531"/>
      <c r="G37" s="529"/>
      <c r="H37" s="530"/>
      <c r="I37" s="528"/>
      <c r="J37" s="531"/>
      <c r="K37" s="527"/>
      <c r="L37" s="528"/>
      <c r="M37" s="531"/>
      <c r="N37" s="530"/>
      <c r="O37" s="528"/>
      <c r="P37" s="528"/>
      <c r="Q37" s="492"/>
    </row>
    <row r="38" spans="1:17" ht="18" customHeight="1">
      <c r="A38" s="552" t="s">
        <v>184</v>
      </c>
      <c r="B38" s="173"/>
      <c r="C38" s="528"/>
      <c r="D38" s="112">
        <f aca="true" t="shared" si="7" ref="D38:J38">SUM(D39:D49)</f>
        <v>0</v>
      </c>
      <c r="E38" s="112">
        <f>SUM(E39:E49)</f>
        <v>0</v>
      </c>
      <c r="F38" s="117">
        <f>SUM(F39:F49)</f>
        <v>0</v>
      </c>
      <c r="G38" s="114">
        <f>SUM(G39:G49)</f>
        <v>0</v>
      </c>
      <c r="H38" s="115">
        <f>SUM(H39:H49)</f>
        <v>0</v>
      </c>
      <c r="I38" s="113">
        <f t="shared" si="7"/>
        <v>0</v>
      </c>
      <c r="J38" s="117">
        <f t="shared" si="7"/>
        <v>0</v>
      </c>
      <c r="K38" s="112">
        <f aca="true" t="shared" si="8" ref="K38:P38">SUM(K39:K49)</f>
        <v>0</v>
      </c>
      <c r="L38" s="113">
        <f t="shared" si="8"/>
        <v>0</v>
      </c>
      <c r="M38" s="117">
        <f t="shared" si="8"/>
        <v>0</v>
      </c>
      <c r="N38" s="115">
        <f t="shared" si="8"/>
        <v>0</v>
      </c>
      <c r="O38" s="113">
        <f t="shared" si="8"/>
        <v>0</v>
      </c>
      <c r="P38" s="113">
        <f t="shared" si="8"/>
        <v>0</v>
      </c>
      <c r="Q38" s="214"/>
    </row>
    <row r="39" spans="1:17" ht="18" customHeight="1">
      <c r="A39" s="530"/>
      <c r="B39" s="173" t="s">
        <v>84</v>
      </c>
      <c r="C39" s="528"/>
      <c r="D39" s="532">
        <v>0</v>
      </c>
      <c r="E39" s="532">
        <v>0</v>
      </c>
      <c r="F39" s="533">
        <v>0</v>
      </c>
      <c r="G39" s="534">
        <v>0</v>
      </c>
      <c r="H39" s="535">
        <v>0</v>
      </c>
      <c r="I39" s="536">
        <v>0</v>
      </c>
      <c r="J39" s="270">
        <f aca="true" t="shared" si="9" ref="J39:J47">+H39+I39</f>
        <v>0</v>
      </c>
      <c r="K39" s="532">
        <v>0</v>
      </c>
      <c r="L39" s="536">
        <v>0</v>
      </c>
      <c r="M39" s="270">
        <f aca="true" t="shared" si="10" ref="M39:M47">+K39+L39</f>
        <v>0</v>
      </c>
      <c r="N39" s="271">
        <f>ROUND(+K39*1.06,0)</f>
        <v>0</v>
      </c>
      <c r="O39" s="536">
        <v>0</v>
      </c>
      <c r="P39" s="272">
        <f aca="true" t="shared" si="11" ref="P39:P47">+N39+O39</f>
        <v>0</v>
      </c>
      <c r="Q39" s="492"/>
    </row>
    <row r="40" spans="1:17" ht="18" customHeight="1">
      <c r="A40" s="530"/>
      <c r="B40" s="173" t="s">
        <v>85</v>
      </c>
      <c r="C40" s="528"/>
      <c r="D40" s="544">
        <v>0</v>
      </c>
      <c r="E40" s="544">
        <v>0</v>
      </c>
      <c r="F40" s="531">
        <v>0</v>
      </c>
      <c r="G40" s="529">
        <v>0</v>
      </c>
      <c r="H40" s="530">
        <v>0</v>
      </c>
      <c r="I40" s="528">
        <v>0</v>
      </c>
      <c r="J40" s="255">
        <f t="shared" si="9"/>
        <v>0</v>
      </c>
      <c r="K40" s="544">
        <v>0</v>
      </c>
      <c r="L40" s="528">
        <v>0</v>
      </c>
      <c r="M40" s="255">
        <f t="shared" si="10"/>
        <v>0</v>
      </c>
      <c r="N40" s="253">
        <f aca="true" t="shared" si="12" ref="N40:N47">ROUND(+K40*1.06,0)</f>
        <v>0</v>
      </c>
      <c r="O40" s="528">
        <v>0</v>
      </c>
      <c r="P40" s="280">
        <f t="shared" si="11"/>
        <v>0</v>
      </c>
      <c r="Q40" s="492"/>
    </row>
    <row r="41" spans="1:17" ht="18" customHeight="1">
      <c r="A41" s="530"/>
      <c r="B41" s="173" t="s">
        <v>86</v>
      </c>
      <c r="C41" s="528"/>
      <c r="D41" s="544">
        <v>0</v>
      </c>
      <c r="E41" s="544">
        <v>0</v>
      </c>
      <c r="F41" s="531">
        <v>0</v>
      </c>
      <c r="G41" s="529">
        <v>0</v>
      </c>
      <c r="H41" s="530">
        <v>0</v>
      </c>
      <c r="I41" s="528">
        <v>0</v>
      </c>
      <c r="J41" s="255">
        <f t="shared" si="9"/>
        <v>0</v>
      </c>
      <c r="K41" s="544">
        <v>0</v>
      </c>
      <c r="L41" s="528">
        <v>0</v>
      </c>
      <c r="M41" s="255">
        <f t="shared" si="10"/>
        <v>0</v>
      </c>
      <c r="N41" s="253">
        <f t="shared" si="12"/>
        <v>0</v>
      </c>
      <c r="O41" s="528">
        <v>0</v>
      </c>
      <c r="P41" s="280">
        <f t="shared" si="11"/>
        <v>0</v>
      </c>
      <c r="Q41" s="492"/>
    </row>
    <row r="42" spans="1:17" ht="18" customHeight="1">
      <c r="A42" s="530"/>
      <c r="B42" s="173" t="s">
        <v>87</v>
      </c>
      <c r="C42" s="528"/>
      <c r="D42" s="544">
        <v>0</v>
      </c>
      <c r="E42" s="544">
        <v>0</v>
      </c>
      <c r="F42" s="531">
        <v>0</v>
      </c>
      <c r="G42" s="529">
        <v>0</v>
      </c>
      <c r="H42" s="530">
        <v>0</v>
      </c>
      <c r="I42" s="528">
        <v>0</v>
      </c>
      <c r="J42" s="255">
        <f t="shared" si="9"/>
        <v>0</v>
      </c>
      <c r="K42" s="544">
        <v>0</v>
      </c>
      <c r="L42" s="528">
        <v>0</v>
      </c>
      <c r="M42" s="255">
        <f t="shared" si="10"/>
        <v>0</v>
      </c>
      <c r="N42" s="253">
        <f t="shared" si="12"/>
        <v>0</v>
      </c>
      <c r="O42" s="528">
        <v>0</v>
      </c>
      <c r="P42" s="280">
        <f t="shared" si="11"/>
        <v>0</v>
      </c>
      <c r="Q42" s="492"/>
    </row>
    <row r="43" spans="1:17" ht="18" customHeight="1">
      <c r="A43" s="530"/>
      <c r="B43" s="173" t="s">
        <v>88</v>
      </c>
      <c r="C43" s="528"/>
      <c r="D43" s="544">
        <v>0</v>
      </c>
      <c r="E43" s="544">
        <v>0</v>
      </c>
      <c r="F43" s="531">
        <v>0</v>
      </c>
      <c r="G43" s="529">
        <v>0</v>
      </c>
      <c r="H43" s="530">
        <v>0</v>
      </c>
      <c r="I43" s="528">
        <v>0</v>
      </c>
      <c r="J43" s="255">
        <f t="shared" si="9"/>
        <v>0</v>
      </c>
      <c r="K43" s="544">
        <v>0</v>
      </c>
      <c r="L43" s="528">
        <v>0</v>
      </c>
      <c r="M43" s="255">
        <f t="shared" si="10"/>
        <v>0</v>
      </c>
      <c r="N43" s="253">
        <f t="shared" si="12"/>
        <v>0</v>
      </c>
      <c r="O43" s="528">
        <v>0</v>
      </c>
      <c r="P43" s="280">
        <f t="shared" si="11"/>
        <v>0</v>
      </c>
      <c r="Q43" s="492"/>
    </row>
    <row r="44" spans="1:17" ht="18" customHeight="1">
      <c r="A44" s="530"/>
      <c r="B44" s="173" t="s">
        <v>89</v>
      </c>
      <c r="C44" s="528"/>
      <c r="D44" s="544">
        <v>0</v>
      </c>
      <c r="E44" s="544">
        <v>0</v>
      </c>
      <c r="F44" s="531">
        <v>0</v>
      </c>
      <c r="G44" s="529">
        <v>0</v>
      </c>
      <c r="H44" s="530">
        <v>0</v>
      </c>
      <c r="I44" s="528">
        <v>0</v>
      </c>
      <c r="J44" s="255">
        <f t="shared" si="9"/>
        <v>0</v>
      </c>
      <c r="K44" s="544">
        <v>0</v>
      </c>
      <c r="L44" s="528">
        <v>0</v>
      </c>
      <c r="M44" s="255">
        <f t="shared" si="10"/>
        <v>0</v>
      </c>
      <c r="N44" s="253">
        <f t="shared" si="12"/>
        <v>0</v>
      </c>
      <c r="O44" s="528">
        <v>0</v>
      </c>
      <c r="P44" s="280">
        <f t="shared" si="11"/>
        <v>0</v>
      </c>
      <c r="Q44" s="492"/>
    </row>
    <row r="45" spans="1:17" ht="18" customHeight="1">
      <c r="A45" s="530"/>
      <c r="B45" s="173" t="s">
        <v>90</v>
      </c>
      <c r="C45" s="528"/>
      <c r="D45" s="544">
        <v>0</v>
      </c>
      <c r="E45" s="544">
        <v>0</v>
      </c>
      <c r="F45" s="531">
        <v>0</v>
      </c>
      <c r="G45" s="529">
        <v>0</v>
      </c>
      <c r="H45" s="530">
        <v>0</v>
      </c>
      <c r="I45" s="528">
        <v>0</v>
      </c>
      <c r="J45" s="255">
        <f t="shared" si="9"/>
        <v>0</v>
      </c>
      <c r="K45" s="544">
        <v>0</v>
      </c>
      <c r="L45" s="528">
        <v>0</v>
      </c>
      <c r="M45" s="255">
        <f t="shared" si="10"/>
        <v>0</v>
      </c>
      <c r="N45" s="253">
        <f t="shared" si="12"/>
        <v>0</v>
      </c>
      <c r="O45" s="528">
        <v>0</v>
      </c>
      <c r="P45" s="280">
        <f t="shared" si="11"/>
        <v>0</v>
      </c>
      <c r="Q45" s="492"/>
    </row>
    <row r="46" spans="1:17" ht="18" customHeight="1">
      <c r="A46" s="530"/>
      <c r="B46" s="173" t="s">
        <v>91</v>
      </c>
      <c r="C46" s="528"/>
      <c r="D46" s="544">
        <v>0</v>
      </c>
      <c r="E46" s="544">
        <v>0</v>
      </c>
      <c r="F46" s="531">
        <v>0</v>
      </c>
      <c r="G46" s="529">
        <v>0</v>
      </c>
      <c r="H46" s="530">
        <v>0</v>
      </c>
      <c r="I46" s="528">
        <v>0</v>
      </c>
      <c r="J46" s="255">
        <f t="shared" si="9"/>
        <v>0</v>
      </c>
      <c r="K46" s="544">
        <v>0</v>
      </c>
      <c r="L46" s="528">
        <v>0</v>
      </c>
      <c r="M46" s="255">
        <f t="shared" si="10"/>
        <v>0</v>
      </c>
      <c r="N46" s="253">
        <f t="shared" si="12"/>
        <v>0</v>
      </c>
      <c r="O46" s="528">
        <v>0</v>
      </c>
      <c r="P46" s="280">
        <f t="shared" si="11"/>
        <v>0</v>
      </c>
      <c r="Q46" s="492"/>
    </row>
    <row r="47" spans="1:17" ht="18" customHeight="1">
      <c r="A47" s="530"/>
      <c r="B47" s="173" t="s">
        <v>92</v>
      </c>
      <c r="C47" s="528"/>
      <c r="D47" s="544">
        <v>0</v>
      </c>
      <c r="E47" s="544">
        <v>0</v>
      </c>
      <c r="F47" s="531">
        <v>0</v>
      </c>
      <c r="G47" s="529">
        <v>0</v>
      </c>
      <c r="H47" s="530">
        <v>0</v>
      </c>
      <c r="I47" s="528">
        <v>0</v>
      </c>
      <c r="J47" s="255">
        <f t="shared" si="9"/>
        <v>0</v>
      </c>
      <c r="K47" s="544">
        <v>0</v>
      </c>
      <c r="L47" s="528">
        <v>0</v>
      </c>
      <c r="M47" s="255">
        <f t="shared" si="10"/>
        <v>0</v>
      </c>
      <c r="N47" s="253">
        <f t="shared" si="12"/>
        <v>0</v>
      </c>
      <c r="O47" s="528">
        <v>0</v>
      </c>
      <c r="P47" s="280">
        <f t="shared" si="11"/>
        <v>0</v>
      </c>
      <c r="Q47" s="492"/>
    </row>
    <row r="48" spans="1:17" ht="18" customHeight="1">
      <c r="A48" s="530"/>
      <c r="B48" s="173"/>
      <c r="C48" s="528"/>
      <c r="D48" s="544"/>
      <c r="E48" s="544"/>
      <c r="F48" s="531"/>
      <c r="G48" s="529"/>
      <c r="H48" s="530"/>
      <c r="I48" s="528"/>
      <c r="J48" s="255"/>
      <c r="K48" s="544"/>
      <c r="L48" s="528"/>
      <c r="M48" s="255"/>
      <c r="N48" s="253"/>
      <c r="O48" s="528"/>
      <c r="P48" s="280"/>
      <c r="Q48" s="492"/>
    </row>
    <row r="49" spans="1:17" ht="18" customHeight="1">
      <c r="A49" s="530"/>
      <c r="B49" s="173" t="s">
        <v>93</v>
      </c>
      <c r="C49" s="528"/>
      <c r="D49" s="537">
        <v>0</v>
      </c>
      <c r="E49" s="537">
        <v>0</v>
      </c>
      <c r="F49" s="538">
        <v>0</v>
      </c>
      <c r="G49" s="539">
        <v>0</v>
      </c>
      <c r="H49" s="540">
        <v>0</v>
      </c>
      <c r="I49" s="541">
        <v>0</v>
      </c>
      <c r="J49" s="274">
        <f>+H49+I49</f>
        <v>0</v>
      </c>
      <c r="K49" s="537">
        <v>0</v>
      </c>
      <c r="L49" s="541">
        <v>0</v>
      </c>
      <c r="M49" s="274">
        <f>+K49+L49</f>
        <v>0</v>
      </c>
      <c r="N49" s="275">
        <f>ROUND(+K49*1.06,0)</f>
        <v>0</v>
      </c>
      <c r="O49" s="541">
        <v>0</v>
      </c>
      <c r="P49" s="278">
        <f>+N49+O49</f>
        <v>0</v>
      </c>
      <c r="Q49" s="492"/>
    </row>
    <row r="50" spans="1:17" ht="18" customHeight="1">
      <c r="A50" s="530"/>
      <c r="B50" s="173"/>
      <c r="C50" s="528"/>
      <c r="D50" s="527"/>
      <c r="E50" s="527"/>
      <c r="F50" s="531"/>
      <c r="G50" s="529"/>
      <c r="H50" s="530"/>
      <c r="I50" s="528"/>
      <c r="J50" s="531"/>
      <c r="K50" s="527"/>
      <c r="L50" s="528"/>
      <c r="M50" s="531"/>
      <c r="N50" s="530"/>
      <c r="O50" s="528"/>
      <c r="P50" s="528"/>
      <c r="Q50" s="492"/>
    </row>
    <row r="51" spans="1:17" ht="18" customHeight="1">
      <c r="A51" s="474" t="s">
        <v>14</v>
      </c>
      <c r="B51" s="173"/>
      <c r="C51" s="528"/>
      <c r="D51" s="527"/>
      <c r="E51" s="527"/>
      <c r="F51" s="531"/>
      <c r="G51" s="529"/>
      <c r="H51" s="530"/>
      <c r="I51" s="528"/>
      <c r="J51" s="531"/>
      <c r="K51" s="527"/>
      <c r="L51" s="528"/>
      <c r="M51" s="531"/>
      <c r="N51" s="530"/>
      <c r="O51" s="528"/>
      <c r="P51" s="528"/>
      <c r="Q51" s="492"/>
    </row>
    <row r="52" spans="1:17" ht="18" customHeight="1">
      <c r="A52" s="552" t="s">
        <v>183</v>
      </c>
      <c r="B52" s="173"/>
      <c r="C52" s="528"/>
      <c r="D52" s="527"/>
      <c r="E52" s="527"/>
      <c r="F52" s="531"/>
      <c r="G52" s="529"/>
      <c r="H52" s="530"/>
      <c r="I52" s="528"/>
      <c r="J52" s="531"/>
      <c r="K52" s="527"/>
      <c r="L52" s="528"/>
      <c r="M52" s="531"/>
      <c r="N52" s="530"/>
      <c r="O52" s="528"/>
      <c r="P52" s="528"/>
      <c r="Q52" s="492"/>
    </row>
    <row r="53" spans="1:17" ht="18" customHeight="1">
      <c r="A53" s="552" t="s">
        <v>184</v>
      </c>
      <c r="B53" s="173"/>
      <c r="C53" s="528"/>
      <c r="D53" s="112">
        <f aca="true" t="shared" si="13" ref="D53:J53">SUM(D54:D64)</f>
        <v>0</v>
      </c>
      <c r="E53" s="112">
        <f>SUM(E54:E64)</f>
        <v>0</v>
      </c>
      <c r="F53" s="117">
        <f>SUM(F54:F64)</f>
        <v>0</v>
      </c>
      <c r="G53" s="114">
        <f>SUM(G54:G64)</f>
        <v>0</v>
      </c>
      <c r="H53" s="115">
        <f>SUM(H54:H64)</f>
        <v>0</v>
      </c>
      <c r="I53" s="113">
        <f t="shared" si="13"/>
        <v>0</v>
      </c>
      <c r="J53" s="117">
        <f t="shared" si="13"/>
        <v>0</v>
      </c>
      <c r="K53" s="112">
        <f aca="true" t="shared" si="14" ref="K53:P53">SUM(K54:K64)</f>
        <v>0</v>
      </c>
      <c r="L53" s="113">
        <f t="shared" si="14"/>
        <v>0</v>
      </c>
      <c r="M53" s="117">
        <f t="shared" si="14"/>
        <v>0</v>
      </c>
      <c r="N53" s="115">
        <f t="shared" si="14"/>
        <v>0</v>
      </c>
      <c r="O53" s="113">
        <f t="shared" si="14"/>
        <v>0</v>
      </c>
      <c r="P53" s="113">
        <f t="shared" si="14"/>
        <v>0</v>
      </c>
      <c r="Q53" s="492"/>
    </row>
    <row r="54" spans="1:17" ht="18" customHeight="1">
      <c r="A54" s="530"/>
      <c r="B54" s="173" t="s">
        <v>84</v>
      </c>
      <c r="C54" s="528"/>
      <c r="D54" s="532">
        <v>0</v>
      </c>
      <c r="E54" s="532">
        <v>0</v>
      </c>
      <c r="F54" s="533">
        <v>0</v>
      </c>
      <c r="G54" s="534">
        <v>0</v>
      </c>
      <c r="H54" s="535">
        <v>0</v>
      </c>
      <c r="I54" s="536">
        <v>0</v>
      </c>
      <c r="J54" s="270">
        <f aca="true" t="shared" si="15" ref="J54:J62">+H54+I54</f>
        <v>0</v>
      </c>
      <c r="K54" s="532">
        <v>0</v>
      </c>
      <c r="L54" s="536">
        <v>0</v>
      </c>
      <c r="M54" s="270">
        <f aca="true" t="shared" si="16" ref="M54:M62">+K54+L54</f>
        <v>0</v>
      </c>
      <c r="N54" s="271">
        <f>ROUND(+K54*1.06,0)</f>
        <v>0</v>
      </c>
      <c r="O54" s="536">
        <v>0</v>
      </c>
      <c r="P54" s="272">
        <f aca="true" t="shared" si="17" ref="P54:P62">+N54+O54</f>
        <v>0</v>
      </c>
      <c r="Q54" s="492"/>
    </row>
    <row r="55" spans="1:17" ht="18" customHeight="1">
      <c r="A55" s="530"/>
      <c r="B55" s="173" t="s">
        <v>85</v>
      </c>
      <c r="C55" s="528"/>
      <c r="D55" s="544">
        <v>0</v>
      </c>
      <c r="E55" s="544">
        <v>0</v>
      </c>
      <c r="F55" s="531">
        <v>0</v>
      </c>
      <c r="G55" s="529">
        <v>0</v>
      </c>
      <c r="H55" s="530">
        <v>0</v>
      </c>
      <c r="I55" s="528">
        <v>0</v>
      </c>
      <c r="J55" s="255">
        <f t="shared" si="15"/>
        <v>0</v>
      </c>
      <c r="K55" s="544">
        <v>0</v>
      </c>
      <c r="L55" s="528">
        <v>0</v>
      </c>
      <c r="M55" s="255">
        <f t="shared" si="16"/>
        <v>0</v>
      </c>
      <c r="N55" s="253">
        <f aca="true" t="shared" si="18" ref="N55:N62">ROUND(+K55*1.06,0)</f>
        <v>0</v>
      </c>
      <c r="O55" s="528">
        <v>0</v>
      </c>
      <c r="P55" s="280">
        <f t="shared" si="17"/>
        <v>0</v>
      </c>
      <c r="Q55" s="492"/>
    </row>
    <row r="56" spans="1:17" ht="18" customHeight="1">
      <c r="A56" s="530"/>
      <c r="B56" s="173" t="s">
        <v>86</v>
      </c>
      <c r="C56" s="528"/>
      <c r="D56" s="544">
        <v>0</v>
      </c>
      <c r="E56" s="544">
        <v>0</v>
      </c>
      <c r="F56" s="531">
        <v>0</v>
      </c>
      <c r="G56" s="529">
        <v>0</v>
      </c>
      <c r="H56" s="530">
        <v>0</v>
      </c>
      <c r="I56" s="528">
        <v>0</v>
      </c>
      <c r="J56" s="255">
        <f t="shared" si="15"/>
        <v>0</v>
      </c>
      <c r="K56" s="544">
        <v>0</v>
      </c>
      <c r="L56" s="528">
        <v>0</v>
      </c>
      <c r="M56" s="255">
        <f t="shared" si="16"/>
        <v>0</v>
      </c>
      <c r="N56" s="253">
        <f t="shared" si="18"/>
        <v>0</v>
      </c>
      <c r="O56" s="528">
        <v>0</v>
      </c>
      <c r="P56" s="280">
        <f t="shared" si="17"/>
        <v>0</v>
      </c>
      <c r="Q56" s="492"/>
    </row>
    <row r="57" spans="1:17" ht="18" customHeight="1">
      <c r="A57" s="530"/>
      <c r="B57" s="173" t="s">
        <v>87</v>
      </c>
      <c r="C57" s="528"/>
      <c r="D57" s="544">
        <v>0</v>
      </c>
      <c r="E57" s="544">
        <v>0</v>
      </c>
      <c r="F57" s="531">
        <v>0</v>
      </c>
      <c r="G57" s="529">
        <v>0</v>
      </c>
      <c r="H57" s="530">
        <v>0</v>
      </c>
      <c r="I57" s="528">
        <v>0</v>
      </c>
      <c r="J57" s="255">
        <f t="shared" si="15"/>
        <v>0</v>
      </c>
      <c r="K57" s="544">
        <v>0</v>
      </c>
      <c r="L57" s="528">
        <v>0</v>
      </c>
      <c r="M57" s="255">
        <f t="shared" si="16"/>
        <v>0</v>
      </c>
      <c r="N57" s="253">
        <f t="shared" si="18"/>
        <v>0</v>
      </c>
      <c r="O57" s="528">
        <v>0</v>
      </c>
      <c r="P57" s="280">
        <f t="shared" si="17"/>
        <v>0</v>
      </c>
      <c r="Q57" s="492"/>
    </row>
    <row r="58" spans="1:17" ht="18" customHeight="1">
      <c r="A58" s="530"/>
      <c r="B58" s="173" t="s">
        <v>88</v>
      </c>
      <c r="C58" s="528"/>
      <c r="D58" s="544">
        <v>0</v>
      </c>
      <c r="E58" s="544">
        <v>0</v>
      </c>
      <c r="F58" s="531">
        <v>0</v>
      </c>
      <c r="G58" s="529">
        <v>0</v>
      </c>
      <c r="H58" s="530">
        <v>0</v>
      </c>
      <c r="I58" s="528">
        <v>0</v>
      </c>
      <c r="J58" s="255">
        <f t="shared" si="15"/>
        <v>0</v>
      </c>
      <c r="K58" s="544">
        <v>0</v>
      </c>
      <c r="L58" s="528">
        <v>0</v>
      </c>
      <c r="M58" s="255">
        <f t="shared" si="16"/>
        <v>0</v>
      </c>
      <c r="N58" s="253">
        <f t="shared" si="18"/>
        <v>0</v>
      </c>
      <c r="O58" s="528">
        <v>0</v>
      </c>
      <c r="P58" s="280">
        <f t="shared" si="17"/>
        <v>0</v>
      </c>
      <c r="Q58" s="492"/>
    </row>
    <row r="59" spans="1:17" ht="18" customHeight="1">
      <c r="A59" s="530"/>
      <c r="B59" s="173" t="s">
        <v>89</v>
      </c>
      <c r="C59" s="528"/>
      <c r="D59" s="544">
        <v>0</v>
      </c>
      <c r="E59" s="544">
        <v>0</v>
      </c>
      <c r="F59" s="531">
        <v>0</v>
      </c>
      <c r="G59" s="529">
        <v>0</v>
      </c>
      <c r="H59" s="530">
        <v>0</v>
      </c>
      <c r="I59" s="528">
        <v>0</v>
      </c>
      <c r="J59" s="255">
        <f t="shared" si="15"/>
        <v>0</v>
      </c>
      <c r="K59" s="544">
        <v>0</v>
      </c>
      <c r="L59" s="528">
        <v>0</v>
      </c>
      <c r="M59" s="255">
        <f t="shared" si="16"/>
        <v>0</v>
      </c>
      <c r="N59" s="253">
        <f t="shared" si="18"/>
        <v>0</v>
      </c>
      <c r="O59" s="528">
        <v>0</v>
      </c>
      <c r="P59" s="280">
        <f t="shared" si="17"/>
        <v>0</v>
      </c>
      <c r="Q59" s="492"/>
    </row>
    <row r="60" spans="1:17" ht="18" customHeight="1">
      <c r="A60" s="530"/>
      <c r="B60" s="173" t="s">
        <v>90</v>
      </c>
      <c r="C60" s="528"/>
      <c r="D60" s="544">
        <v>0</v>
      </c>
      <c r="E60" s="544">
        <v>0</v>
      </c>
      <c r="F60" s="531">
        <v>0</v>
      </c>
      <c r="G60" s="529">
        <v>0</v>
      </c>
      <c r="H60" s="530">
        <v>0</v>
      </c>
      <c r="I60" s="528">
        <v>0</v>
      </c>
      <c r="J60" s="255">
        <f t="shared" si="15"/>
        <v>0</v>
      </c>
      <c r="K60" s="544">
        <v>0</v>
      </c>
      <c r="L60" s="528">
        <v>0</v>
      </c>
      <c r="M60" s="255">
        <f t="shared" si="16"/>
        <v>0</v>
      </c>
      <c r="N60" s="253">
        <f t="shared" si="18"/>
        <v>0</v>
      </c>
      <c r="O60" s="528">
        <v>0</v>
      </c>
      <c r="P60" s="280">
        <f t="shared" si="17"/>
        <v>0</v>
      </c>
      <c r="Q60" s="492"/>
    </row>
    <row r="61" spans="1:17" ht="18" customHeight="1">
      <c r="A61" s="530"/>
      <c r="B61" s="173" t="s">
        <v>91</v>
      </c>
      <c r="C61" s="528"/>
      <c r="D61" s="544">
        <v>0</v>
      </c>
      <c r="E61" s="544">
        <v>0</v>
      </c>
      <c r="F61" s="531">
        <v>0</v>
      </c>
      <c r="G61" s="529">
        <v>0</v>
      </c>
      <c r="H61" s="530">
        <v>0</v>
      </c>
      <c r="I61" s="528">
        <v>0</v>
      </c>
      <c r="J61" s="255">
        <f t="shared" si="15"/>
        <v>0</v>
      </c>
      <c r="K61" s="544">
        <v>0</v>
      </c>
      <c r="L61" s="528">
        <v>0</v>
      </c>
      <c r="M61" s="255">
        <f t="shared" si="16"/>
        <v>0</v>
      </c>
      <c r="N61" s="253">
        <f t="shared" si="18"/>
        <v>0</v>
      </c>
      <c r="O61" s="528">
        <v>0</v>
      </c>
      <c r="P61" s="280">
        <f t="shared" si="17"/>
        <v>0</v>
      </c>
      <c r="Q61" s="492"/>
    </row>
    <row r="62" spans="1:17" ht="18" customHeight="1">
      <c r="A62" s="530"/>
      <c r="B62" s="173" t="s">
        <v>92</v>
      </c>
      <c r="C62" s="528"/>
      <c r="D62" s="544">
        <v>0</v>
      </c>
      <c r="E62" s="544">
        <v>0</v>
      </c>
      <c r="F62" s="531">
        <v>0</v>
      </c>
      <c r="G62" s="529">
        <v>0</v>
      </c>
      <c r="H62" s="530">
        <v>0</v>
      </c>
      <c r="I62" s="528">
        <v>0</v>
      </c>
      <c r="J62" s="255">
        <f t="shared" si="15"/>
        <v>0</v>
      </c>
      <c r="K62" s="544">
        <v>0</v>
      </c>
      <c r="L62" s="528">
        <v>0</v>
      </c>
      <c r="M62" s="255">
        <f t="shared" si="16"/>
        <v>0</v>
      </c>
      <c r="N62" s="253">
        <f t="shared" si="18"/>
        <v>0</v>
      </c>
      <c r="O62" s="528">
        <v>0</v>
      </c>
      <c r="P62" s="280">
        <f t="shared" si="17"/>
        <v>0</v>
      </c>
      <c r="Q62" s="492"/>
    </row>
    <row r="63" spans="1:17" ht="18" customHeight="1">
      <c r="A63" s="530"/>
      <c r="B63" s="173"/>
      <c r="C63" s="528"/>
      <c r="D63" s="544"/>
      <c r="E63" s="544"/>
      <c r="F63" s="531"/>
      <c r="G63" s="529"/>
      <c r="H63" s="530"/>
      <c r="I63" s="528"/>
      <c r="J63" s="255"/>
      <c r="K63" s="544"/>
      <c r="L63" s="528"/>
      <c r="M63" s="255"/>
      <c r="N63" s="253"/>
      <c r="O63" s="528"/>
      <c r="P63" s="280"/>
      <c r="Q63" s="492"/>
    </row>
    <row r="64" spans="1:17" ht="18" customHeight="1">
      <c r="A64" s="530"/>
      <c r="B64" s="173" t="s">
        <v>93</v>
      </c>
      <c r="C64" s="528"/>
      <c r="D64" s="537">
        <v>0</v>
      </c>
      <c r="E64" s="537">
        <v>0</v>
      </c>
      <c r="F64" s="538">
        <v>0</v>
      </c>
      <c r="G64" s="539">
        <v>0</v>
      </c>
      <c r="H64" s="540">
        <v>0</v>
      </c>
      <c r="I64" s="541">
        <v>0</v>
      </c>
      <c r="J64" s="274">
        <f>+H64+I64</f>
        <v>0</v>
      </c>
      <c r="K64" s="537">
        <v>0</v>
      </c>
      <c r="L64" s="541">
        <v>0</v>
      </c>
      <c r="M64" s="274">
        <f>+K64+L64</f>
        <v>0</v>
      </c>
      <c r="N64" s="275">
        <f>ROUND(+K64*1.06,0)</f>
        <v>0</v>
      </c>
      <c r="O64" s="541">
        <v>0</v>
      </c>
      <c r="P64" s="278">
        <f>+N64+O64</f>
        <v>0</v>
      </c>
      <c r="Q64" s="492"/>
    </row>
    <row r="65" spans="1:17" ht="18" customHeight="1">
      <c r="A65" s="530"/>
      <c r="B65" s="173"/>
      <c r="C65" s="528"/>
      <c r="D65" s="527"/>
      <c r="E65" s="527"/>
      <c r="F65" s="531"/>
      <c r="G65" s="529"/>
      <c r="H65" s="530"/>
      <c r="I65" s="528"/>
      <c r="J65" s="531"/>
      <c r="K65" s="527"/>
      <c r="L65" s="528"/>
      <c r="M65" s="531"/>
      <c r="N65" s="530"/>
      <c r="O65" s="528"/>
      <c r="P65" s="528"/>
      <c r="Q65" s="492"/>
    </row>
    <row r="66" spans="1:17" ht="18" customHeight="1">
      <c r="A66" s="474" t="s">
        <v>14</v>
      </c>
      <c r="B66" s="173"/>
      <c r="C66" s="528"/>
      <c r="D66" s="527"/>
      <c r="E66" s="527"/>
      <c r="F66" s="531"/>
      <c r="G66" s="529"/>
      <c r="H66" s="530"/>
      <c r="I66" s="528"/>
      <c r="J66" s="531"/>
      <c r="K66" s="527"/>
      <c r="L66" s="528"/>
      <c r="M66" s="531"/>
      <c r="N66" s="530"/>
      <c r="O66" s="528"/>
      <c r="P66" s="528"/>
      <c r="Q66" s="492"/>
    </row>
    <row r="67" spans="1:17" ht="18" customHeight="1">
      <c r="A67" s="552" t="s">
        <v>183</v>
      </c>
      <c r="B67" s="173"/>
      <c r="C67" s="528"/>
      <c r="D67" s="527"/>
      <c r="E67" s="527"/>
      <c r="F67" s="531"/>
      <c r="G67" s="529"/>
      <c r="H67" s="530"/>
      <c r="I67" s="528"/>
      <c r="J67" s="531"/>
      <c r="K67" s="527"/>
      <c r="L67" s="528"/>
      <c r="M67" s="531"/>
      <c r="N67" s="530"/>
      <c r="O67" s="528"/>
      <c r="P67" s="528"/>
      <c r="Q67" s="492"/>
    </row>
    <row r="68" spans="1:17" ht="18" customHeight="1">
      <c r="A68" s="552" t="s">
        <v>184</v>
      </c>
      <c r="B68" s="173"/>
      <c r="C68" s="528"/>
      <c r="D68" s="112">
        <f aca="true" t="shared" si="19" ref="D68:J68">SUM(D69:D79)</f>
        <v>0</v>
      </c>
      <c r="E68" s="112">
        <f>SUM(E69:E79)</f>
        <v>0</v>
      </c>
      <c r="F68" s="117">
        <f>SUM(F69:F79)</f>
        <v>0</v>
      </c>
      <c r="G68" s="114">
        <f>SUM(G69:G79)</f>
        <v>0</v>
      </c>
      <c r="H68" s="115">
        <f>SUM(H69:H79)</f>
        <v>0</v>
      </c>
      <c r="I68" s="113">
        <f t="shared" si="19"/>
        <v>0</v>
      </c>
      <c r="J68" s="117">
        <f t="shared" si="19"/>
        <v>0</v>
      </c>
      <c r="K68" s="112">
        <f aca="true" t="shared" si="20" ref="K68:P68">SUM(K69:K79)</f>
        <v>0</v>
      </c>
      <c r="L68" s="113">
        <f t="shared" si="20"/>
        <v>0</v>
      </c>
      <c r="M68" s="117">
        <f t="shared" si="20"/>
        <v>0</v>
      </c>
      <c r="N68" s="115">
        <f t="shared" si="20"/>
        <v>0</v>
      </c>
      <c r="O68" s="113">
        <f t="shared" si="20"/>
        <v>0</v>
      </c>
      <c r="P68" s="113">
        <f t="shared" si="20"/>
        <v>0</v>
      </c>
      <c r="Q68" s="214"/>
    </row>
    <row r="69" spans="1:17" ht="18" customHeight="1">
      <c r="A69" s="530"/>
      <c r="B69" s="173" t="s">
        <v>84</v>
      </c>
      <c r="C69" s="528"/>
      <c r="D69" s="532">
        <v>0</v>
      </c>
      <c r="E69" s="532">
        <v>0</v>
      </c>
      <c r="F69" s="533">
        <v>0</v>
      </c>
      <c r="G69" s="534">
        <v>0</v>
      </c>
      <c r="H69" s="535">
        <v>0</v>
      </c>
      <c r="I69" s="536">
        <v>0</v>
      </c>
      <c r="J69" s="270">
        <f aca="true" t="shared" si="21" ref="J69:J77">+H69+I69</f>
        <v>0</v>
      </c>
      <c r="K69" s="532">
        <v>0</v>
      </c>
      <c r="L69" s="536">
        <v>0</v>
      </c>
      <c r="M69" s="270">
        <f aca="true" t="shared" si="22" ref="M69:M77">+K69+L69</f>
        <v>0</v>
      </c>
      <c r="N69" s="271">
        <f>ROUND(+K69*1.06,0)</f>
        <v>0</v>
      </c>
      <c r="O69" s="536">
        <v>0</v>
      </c>
      <c r="P69" s="272">
        <f aca="true" t="shared" si="23" ref="P69:P77">+N69+O69</f>
        <v>0</v>
      </c>
      <c r="Q69" s="492"/>
    </row>
    <row r="70" spans="1:17" ht="18" customHeight="1">
      <c r="A70" s="530"/>
      <c r="B70" s="173" t="s">
        <v>85</v>
      </c>
      <c r="C70" s="528"/>
      <c r="D70" s="544">
        <v>0</v>
      </c>
      <c r="E70" s="544">
        <v>0</v>
      </c>
      <c r="F70" s="531">
        <v>0</v>
      </c>
      <c r="G70" s="529">
        <v>0</v>
      </c>
      <c r="H70" s="530">
        <v>0</v>
      </c>
      <c r="I70" s="528">
        <v>0</v>
      </c>
      <c r="J70" s="255">
        <f t="shared" si="21"/>
        <v>0</v>
      </c>
      <c r="K70" s="544">
        <v>0</v>
      </c>
      <c r="L70" s="528">
        <v>0</v>
      </c>
      <c r="M70" s="255">
        <f t="shared" si="22"/>
        <v>0</v>
      </c>
      <c r="N70" s="253">
        <f aca="true" t="shared" si="24" ref="N70:N77">ROUND(+K70*1.06,0)</f>
        <v>0</v>
      </c>
      <c r="O70" s="528">
        <v>0</v>
      </c>
      <c r="P70" s="280">
        <f t="shared" si="23"/>
        <v>0</v>
      </c>
      <c r="Q70" s="492"/>
    </row>
    <row r="71" spans="1:17" ht="18" customHeight="1">
      <c r="A71" s="530"/>
      <c r="B71" s="173" t="s">
        <v>86</v>
      </c>
      <c r="C71" s="528"/>
      <c r="D71" s="544">
        <v>0</v>
      </c>
      <c r="E71" s="544">
        <v>0</v>
      </c>
      <c r="F71" s="531">
        <v>0</v>
      </c>
      <c r="G71" s="529">
        <v>0</v>
      </c>
      <c r="H71" s="530">
        <v>0</v>
      </c>
      <c r="I71" s="528">
        <v>0</v>
      </c>
      <c r="J71" s="255">
        <f t="shared" si="21"/>
        <v>0</v>
      </c>
      <c r="K71" s="544">
        <v>0</v>
      </c>
      <c r="L71" s="528">
        <v>0</v>
      </c>
      <c r="M71" s="255">
        <f t="shared" si="22"/>
        <v>0</v>
      </c>
      <c r="N71" s="253">
        <f t="shared" si="24"/>
        <v>0</v>
      </c>
      <c r="O71" s="528">
        <v>0</v>
      </c>
      <c r="P71" s="280">
        <f t="shared" si="23"/>
        <v>0</v>
      </c>
      <c r="Q71" s="492"/>
    </row>
    <row r="72" spans="1:17" ht="18" customHeight="1">
      <c r="A72" s="530"/>
      <c r="B72" s="173" t="s">
        <v>87</v>
      </c>
      <c r="C72" s="528"/>
      <c r="D72" s="544">
        <v>0</v>
      </c>
      <c r="E72" s="544">
        <v>0</v>
      </c>
      <c r="F72" s="531">
        <v>0</v>
      </c>
      <c r="G72" s="529">
        <v>0</v>
      </c>
      <c r="H72" s="530">
        <v>0</v>
      </c>
      <c r="I72" s="528">
        <v>0</v>
      </c>
      <c r="J72" s="255">
        <f t="shared" si="21"/>
        <v>0</v>
      </c>
      <c r="K72" s="544">
        <v>0</v>
      </c>
      <c r="L72" s="528">
        <v>0</v>
      </c>
      <c r="M72" s="255">
        <f t="shared" si="22"/>
        <v>0</v>
      </c>
      <c r="N72" s="253">
        <f t="shared" si="24"/>
        <v>0</v>
      </c>
      <c r="O72" s="528">
        <v>0</v>
      </c>
      <c r="P72" s="280">
        <f t="shared" si="23"/>
        <v>0</v>
      </c>
      <c r="Q72" s="492"/>
    </row>
    <row r="73" spans="1:17" ht="18" customHeight="1">
      <c r="A73" s="530"/>
      <c r="B73" s="173" t="s">
        <v>88</v>
      </c>
      <c r="C73" s="528"/>
      <c r="D73" s="544">
        <v>0</v>
      </c>
      <c r="E73" s="544">
        <v>0</v>
      </c>
      <c r="F73" s="531">
        <v>0</v>
      </c>
      <c r="G73" s="529">
        <v>0</v>
      </c>
      <c r="H73" s="530">
        <v>0</v>
      </c>
      <c r="I73" s="528">
        <v>0</v>
      </c>
      <c r="J73" s="255">
        <f t="shared" si="21"/>
        <v>0</v>
      </c>
      <c r="K73" s="544">
        <v>0</v>
      </c>
      <c r="L73" s="528">
        <v>0</v>
      </c>
      <c r="M73" s="255">
        <f t="shared" si="22"/>
        <v>0</v>
      </c>
      <c r="N73" s="253">
        <f t="shared" si="24"/>
        <v>0</v>
      </c>
      <c r="O73" s="528">
        <v>0</v>
      </c>
      <c r="P73" s="280">
        <f t="shared" si="23"/>
        <v>0</v>
      </c>
      <c r="Q73" s="492"/>
    </row>
    <row r="74" spans="1:17" ht="18" customHeight="1">
      <c r="A74" s="530"/>
      <c r="B74" s="173" t="s">
        <v>89</v>
      </c>
      <c r="C74" s="528"/>
      <c r="D74" s="544">
        <v>0</v>
      </c>
      <c r="E74" s="544">
        <v>0</v>
      </c>
      <c r="F74" s="531">
        <v>0</v>
      </c>
      <c r="G74" s="529">
        <v>0</v>
      </c>
      <c r="H74" s="530">
        <v>0</v>
      </c>
      <c r="I74" s="528">
        <v>0</v>
      </c>
      <c r="J74" s="255">
        <f t="shared" si="21"/>
        <v>0</v>
      </c>
      <c r="K74" s="544">
        <v>0</v>
      </c>
      <c r="L74" s="528">
        <v>0</v>
      </c>
      <c r="M74" s="255">
        <f t="shared" si="22"/>
        <v>0</v>
      </c>
      <c r="N74" s="253">
        <f t="shared" si="24"/>
        <v>0</v>
      </c>
      <c r="O74" s="528">
        <v>0</v>
      </c>
      <c r="P74" s="280">
        <f t="shared" si="23"/>
        <v>0</v>
      </c>
      <c r="Q74" s="492"/>
    </row>
    <row r="75" spans="1:17" ht="18" customHeight="1">
      <c r="A75" s="530"/>
      <c r="B75" s="173" t="s">
        <v>90</v>
      </c>
      <c r="C75" s="528"/>
      <c r="D75" s="544">
        <v>0</v>
      </c>
      <c r="E75" s="544">
        <v>0</v>
      </c>
      <c r="F75" s="531">
        <v>0</v>
      </c>
      <c r="G75" s="529">
        <v>0</v>
      </c>
      <c r="H75" s="530">
        <v>0</v>
      </c>
      <c r="I75" s="528">
        <v>0</v>
      </c>
      <c r="J75" s="255">
        <f t="shared" si="21"/>
        <v>0</v>
      </c>
      <c r="K75" s="544">
        <v>0</v>
      </c>
      <c r="L75" s="528">
        <v>0</v>
      </c>
      <c r="M75" s="255">
        <f t="shared" si="22"/>
        <v>0</v>
      </c>
      <c r="N75" s="253">
        <f t="shared" si="24"/>
        <v>0</v>
      </c>
      <c r="O75" s="528">
        <v>0</v>
      </c>
      <c r="P75" s="280">
        <f t="shared" si="23"/>
        <v>0</v>
      </c>
      <c r="Q75" s="492"/>
    </row>
    <row r="76" spans="1:17" ht="18" customHeight="1">
      <c r="A76" s="530"/>
      <c r="B76" s="173" t="s">
        <v>91</v>
      </c>
      <c r="C76" s="528"/>
      <c r="D76" s="544">
        <v>0</v>
      </c>
      <c r="E76" s="544">
        <v>0</v>
      </c>
      <c r="F76" s="531">
        <v>0</v>
      </c>
      <c r="G76" s="529">
        <v>0</v>
      </c>
      <c r="H76" s="530">
        <v>0</v>
      </c>
      <c r="I76" s="528">
        <v>0</v>
      </c>
      <c r="J76" s="255">
        <f t="shared" si="21"/>
        <v>0</v>
      </c>
      <c r="K76" s="544">
        <v>0</v>
      </c>
      <c r="L76" s="528">
        <v>0</v>
      </c>
      <c r="M76" s="255">
        <f t="shared" si="22"/>
        <v>0</v>
      </c>
      <c r="N76" s="253">
        <f t="shared" si="24"/>
        <v>0</v>
      </c>
      <c r="O76" s="528">
        <v>0</v>
      </c>
      <c r="P76" s="280">
        <f t="shared" si="23"/>
        <v>0</v>
      </c>
      <c r="Q76" s="492"/>
    </row>
    <row r="77" spans="1:17" ht="18" customHeight="1">
      <c r="A77" s="530"/>
      <c r="B77" s="173" t="s">
        <v>92</v>
      </c>
      <c r="C77" s="528"/>
      <c r="D77" s="544">
        <v>0</v>
      </c>
      <c r="E77" s="544">
        <v>0</v>
      </c>
      <c r="F77" s="531">
        <v>0</v>
      </c>
      <c r="G77" s="529">
        <v>0</v>
      </c>
      <c r="H77" s="530">
        <v>0</v>
      </c>
      <c r="I77" s="528">
        <v>0</v>
      </c>
      <c r="J77" s="255">
        <f t="shared" si="21"/>
        <v>0</v>
      </c>
      <c r="K77" s="544">
        <v>0</v>
      </c>
      <c r="L77" s="528">
        <v>0</v>
      </c>
      <c r="M77" s="255">
        <f t="shared" si="22"/>
        <v>0</v>
      </c>
      <c r="N77" s="253">
        <f t="shared" si="24"/>
        <v>0</v>
      </c>
      <c r="O77" s="528">
        <v>0</v>
      </c>
      <c r="P77" s="280">
        <f t="shared" si="23"/>
        <v>0</v>
      </c>
      <c r="Q77" s="492"/>
    </row>
    <row r="78" spans="1:17" ht="18" customHeight="1">
      <c r="A78" s="530"/>
      <c r="B78" s="173"/>
      <c r="C78" s="528"/>
      <c r="D78" s="544"/>
      <c r="E78" s="544"/>
      <c r="F78" s="531"/>
      <c r="G78" s="529"/>
      <c r="H78" s="530"/>
      <c r="I78" s="528"/>
      <c r="J78" s="255"/>
      <c r="K78" s="544"/>
      <c r="L78" s="528"/>
      <c r="M78" s="255"/>
      <c r="N78" s="253"/>
      <c r="O78" s="528"/>
      <c r="P78" s="280"/>
      <c r="Q78" s="492"/>
    </row>
    <row r="79" spans="1:17" ht="18" customHeight="1">
      <c r="A79" s="530"/>
      <c r="B79" s="173" t="s">
        <v>93</v>
      </c>
      <c r="C79" s="528"/>
      <c r="D79" s="537">
        <v>0</v>
      </c>
      <c r="E79" s="537">
        <v>0</v>
      </c>
      <c r="F79" s="538">
        <v>0</v>
      </c>
      <c r="G79" s="539">
        <v>0</v>
      </c>
      <c r="H79" s="540">
        <v>0</v>
      </c>
      <c r="I79" s="541">
        <v>0</v>
      </c>
      <c r="J79" s="274">
        <f>+H79+I79</f>
        <v>0</v>
      </c>
      <c r="K79" s="537">
        <v>0</v>
      </c>
      <c r="L79" s="541">
        <v>0</v>
      </c>
      <c r="M79" s="274">
        <f>+K79+L79</f>
        <v>0</v>
      </c>
      <c r="N79" s="275">
        <f>ROUND(+K79*1.06,0)</f>
        <v>0</v>
      </c>
      <c r="O79" s="541">
        <v>0</v>
      </c>
      <c r="P79" s="278">
        <f>+N79+O79</f>
        <v>0</v>
      </c>
      <c r="Q79" s="492"/>
    </row>
    <row r="80" spans="1:17" ht="18" customHeight="1" thickBot="1">
      <c r="A80" s="530"/>
      <c r="B80" s="173"/>
      <c r="C80" s="528"/>
      <c r="D80" s="527"/>
      <c r="E80" s="527"/>
      <c r="F80" s="531"/>
      <c r="G80" s="529"/>
      <c r="H80" s="530"/>
      <c r="I80" s="528"/>
      <c r="J80" s="531"/>
      <c r="K80" s="527"/>
      <c r="L80" s="528"/>
      <c r="M80" s="531"/>
      <c r="N80" s="530"/>
      <c r="O80" s="528"/>
      <c r="P80" s="528"/>
      <c r="Q80" s="492"/>
    </row>
    <row r="81" spans="1:17" ht="18" customHeight="1" thickTop="1">
      <c r="A81" s="629" t="s">
        <v>14</v>
      </c>
      <c r="B81" s="630"/>
      <c r="C81" s="631"/>
      <c r="D81" s="632"/>
      <c r="E81" s="632"/>
      <c r="F81" s="547"/>
      <c r="G81" s="548"/>
      <c r="H81" s="549"/>
      <c r="I81" s="631"/>
      <c r="J81" s="547"/>
      <c r="K81" s="632"/>
      <c r="L81" s="631"/>
      <c r="M81" s="547"/>
      <c r="N81" s="549"/>
      <c r="O81" s="631"/>
      <c r="P81" s="631"/>
      <c r="Q81" s="633"/>
    </row>
    <row r="82" spans="1:17" ht="18" customHeight="1">
      <c r="A82" s="552" t="s">
        <v>183</v>
      </c>
      <c r="B82" s="173"/>
      <c r="C82" s="528"/>
      <c r="D82" s="527"/>
      <c r="E82" s="527"/>
      <c r="F82" s="531"/>
      <c r="G82" s="529"/>
      <c r="H82" s="530"/>
      <c r="I82" s="528"/>
      <c r="J82" s="531"/>
      <c r="K82" s="527"/>
      <c r="L82" s="528"/>
      <c r="M82" s="531"/>
      <c r="N82" s="530"/>
      <c r="O82" s="528"/>
      <c r="P82" s="528"/>
      <c r="Q82" s="492"/>
    </row>
    <row r="83" spans="1:17" ht="18" customHeight="1">
      <c r="A83" s="552" t="s">
        <v>184</v>
      </c>
      <c r="B83" s="173"/>
      <c r="C83" s="528"/>
      <c r="D83" s="112">
        <f aca="true" t="shared" si="25" ref="D83:J83">SUM(D84:D94)</f>
        <v>0</v>
      </c>
      <c r="E83" s="112">
        <f>SUM(E84:E94)</f>
        <v>0</v>
      </c>
      <c r="F83" s="117">
        <f>SUM(F84:F94)</f>
        <v>0</v>
      </c>
      <c r="G83" s="114">
        <f>SUM(G84:G94)</f>
        <v>0</v>
      </c>
      <c r="H83" s="115">
        <f>SUM(H84:H94)</f>
        <v>0</v>
      </c>
      <c r="I83" s="113">
        <f t="shared" si="25"/>
        <v>0</v>
      </c>
      <c r="J83" s="117">
        <f t="shared" si="25"/>
        <v>0</v>
      </c>
      <c r="K83" s="112">
        <f aca="true" t="shared" si="26" ref="K83:P83">SUM(K84:K94)</f>
        <v>0</v>
      </c>
      <c r="L83" s="113">
        <f t="shared" si="26"/>
        <v>0</v>
      </c>
      <c r="M83" s="117">
        <f t="shared" si="26"/>
        <v>0</v>
      </c>
      <c r="N83" s="115">
        <f t="shared" si="26"/>
        <v>0</v>
      </c>
      <c r="O83" s="113">
        <f t="shared" si="26"/>
        <v>0</v>
      </c>
      <c r="P83" s="113">
        <f t="shared" si="26"/>
        <v>0</v>
      </c>
      <c r="Q83" s="214"/>
    </row>
    <row r="84" spans="1:17" ht="18" customHeight="1">
      <c r="A84" s="530"/>
      <c r="B84" s="173" t="s">
        <v>84</v>
      </c>
      <c r="C84" s="528"/>
      <c r="D84" s="532">
        <v>0</v>
      </c>
      <c r="E84" s="532">
        <v>0</v>
      </c>
      <c r="F84" s="533">
        <v>0</v>
      </c>
      <c r="G84" s="534">
        <v>0</v>
      </c>
      <c r="H84" s="535">
        <v>0</v>
      </c>
      <c r="I84" s="536">
        <v>0</v>
      </c>
      <c r="J84" s="270">
        <f aca="true" t="shared" si="27" ref="J84:J92">+H84+I84</f>
        <v>0</v>
      </c>
      <c r="K84" s="532">
        <v>0</v>
      </c>
      <c r="L84" s="536">
        <v>0</v>
      </c>
      <c r="M84" s="270">
        <f aca="true" t="shared" si="28" ref="M84:M92">+K84+L84</f>
        <v>0</v>
      </c>
      <c r="N84" s="271">
        <f>ROUND(+K84*1.06,0)</f>
        <v>0</v>
      </c>
      <c r="O84" s="536">
        <v>0</v>
      </c>
      <c r="P84" s="272">
        <f aca="true" t="shared" si="29" ref="P84:P92">+N84+O84</f>
        <v>0</v>
      </c>
      <c r="Q84" s="492"/>
    </row>
    <row r="85" spans="1:17" ht="18" customHeight="1">
      <c r="A85" s="530"/>
      <c r="B85" s="173" t="s">
        <v>85</v>
      </c>
      <c r="C85" s="528"/>
      <c r="D85" s="544">
        <v>0</v>
      </c>
      <c r="E85" s="544">
        <v>0</v>
      </c>
      <c r="F85" s="531">
        <v>0</v>
      </c>
      <c r="G85" s="529">
        <v>0</v>
      </c>
      <c r="H85" s="530">
        <v>0</v>
      </c>
      <c r="I85" s="528">
        <v>0</v>
      </c>
      <c r="J85" s="255">
        <f t="shared" si="27"/>
        <v>0</v>
      </c>
      <c r="K85" s="544">
        <v>0</v>
      </c>
      <c r="L85" s="528">
        <v>0</v>
      </c>
      <c r="M85" s="255">
        <f t="shared" si="28"/>
        <v>0</v>
      </c>
      <c r="N85" s="253">
        <f aca="true" t="shared" si="30" ref="N85:N92">ROUND(+K85*1.06,0)</f>
        <v>0</v>
      </c>
      <c r="O85" s="528">
        <v>0</v>
      </c>
      <c r="P85" s="280">
        <f t="shared" si="29"/>
        <v>0</v>
      </c>
      <c r="Q85" s="492"/>
    </row>
    <row r="86" spans="1:17" ht="18" customHeight="1">
      <c r="A86" s="530"/>
      <c r="B86" s="173" t="s">
        <v>86</v>
      </c>
      <c r="C86" s="528"/>
      <c r="D86" s="544">
        <v>0</v>
      </c>
      <c r="E86" s="544">
        <v>0</v>
      </c>
      <c r="F86" s="531">
        <v>0</v>
      </c>
      <c r="G86" s="529">
        <v>0</v>
      </c>
      <c r="H86" s="530">
        <v>0</v>
      </c>
      <c r="I86" s="528">
        <v>0</v>
      </c>
      <c r="J86" s="255">
        <f t="shared" si="27"/>
        <v>0</v>
      </c>
      <c r="K86" s="544">
        <v>0</v>
      </c>
      <c r="L86" s="528">
        <v>0</v>
      </c>
      <c r="M86" s="255">
        <f t="shared" si="28"/>
        <v>0</v>
      </c>
      <c r="N86" s="253">
        <f t="shared" si="30"/>
        <v>0</v>
      </c>
      <c r="O86" s="528">
        <v>0</v>
      </c>
      <c r="P86" s="280">
        <f t="shared" si="29"/>
        <v>0</v>
      </c>
      <c r="Q86" s="492"/>
    </row>
    <row r="87" spans="1:17" ht="18" customHeight="1">
      <c r="A87" s="530"/>
      <c r="B87" s="173" t="s">
        <v>87</v>
      </c>
      <c r="C87" s="528"/>
      <c r="D87" s="544">
        <v>0</v>
      </c>
      <c r="E87" s="544">
        <v>0</v>
      </c>
      <c r="F87" s="531">
        <v>0</v>
      </c>
      <c r="G87" s="529">
        <v>0</v>
      </c>
      <c r="H87" s="530">
        <v>0</v>
      </c>
      <c r="I87" s="528">
        <v>0</v>
      </c>
      <c r="J87" s="255">
        <f t="shared" si="27"/>
        <v>0</v>
      </c>
      <c r="K87" s="544">
        <v>0</v>
      </c>
      <c r="L87" s="528">
        <v>0</v>
      </c>
      <c r="M87" s="255">
        <f t="shared" si="28"/>
        <v>0</v>
      </c>
      <c r="N87" s="253">
        <f t="shared" si="30"/>
        <v>0</v>
      </c>
      <c r="O87" s="528">
        <v>0</v>
      </c>
      <c r="P87" s="280">
        <f t="shared" si="29"/>
        <v>0</v>
      </c>
      <c r="Q87" s="492"/>
    </row>
    <row r="88" spans="1:17" ht="18" customHeight="1">
      <c r="A88" s="530"/>
      <c r="B88" s="173" t="s">
        <v>88</v>
      </c>
      <c r="C88" s="528"/>
      <c r="D88" s="544">
        <v>0</v>
      </c>
      <c r="E88" s="544">
        <v>0</v>
      </c>
      <c r="F88" s="531">
        <v>0</v>
      </c>
      <c r="G88" s="529">
        <v>0</v>
      </c>
      <c r="H88" s="530">
        <v>0</v>
      </c>
      <c r="I88" s="528">
        <v>0</v>
      </c>
      <c r="J88" s="255">
        <f t="shared" si="27"/>
        <v>0</v>
      </c>
      <c r="K88" s="544">
        <v>0</v>
      </c>
      <c r="L88" s="528">
        <v>0</v>
      </c>
      <c r="M88" s="255">
        <f t="shared" si="28"/>
        <v>0</v>
      </c>
      <c r="N88" s="253">
        <f t="shared" si="30"/>
        <v>0</v>
      </c>
      <c r="O88" s="528">
        <v>0</v>
      </c>
      <c r="P88" s="280">
        <f t="shared" si="29"/>
        <v>0</v>
      </c>
      <c r="Q88" s="492"/>
    </row>
    <row r="89" spans="1:17" ht="18" customHeight="1">
      <c r="A89" s="530"/>
      <c r="B89" s="173" t="s">
        <v>89</v>
      </c>
      <c r="C89" s="528"/>
      <c r="D89" s="544">
        <v>0</v>
      </c>
      <c r="E89" s="544">
        <v>0</v>
      </c>
      <c r="F89" s="531">
        <v>0</v>
      </c>
      <c r="G89" s="529">
        <v>0</v>
      </c>
      <c r="H89" s="530">
        <v>0</v>
      </c>
      <c r="I89" s="528">
        <v>0</v>
      </c>
      <c r="J89" s="255">
        <f t="shared" si="27"/>
        <v>0</v>
      </c>
      <c r="K89" s="544">
        <v>0</v>
      </c>
      <c r="L89" s="528">
        <v>0</v>
      </c>
      <c r="M89" s="255">
        <f t="shared" si="28"/>
        <v>0</v>
      </c>
      <c r="N89" s="253">
        <f t="shared" si="30"/>
        <v>0</v>
      </c>
      <c r="O89" s="528">
        <v>0</v>
      </c>
      <c r="P89" s="280">
        <f t="shared" si="29"/>
        <v>0</v>
      </c>
      <c r="Q89" s="492"/>
    </row>
    <row r="90" spans="1:17" ht="18" customHeight="1">
      <c r="A90" s="530"/>
      <c r="B90" s="173" t="s">
        <v>90</v>
      </c>
      <c r="C90" s="528"/>
      <c r="D90" s="544">
        <v>0</v>
      </c>
      <c r="E90" s="544">
        <v>0</v>
      </c>
      <c r="F90" s="531">
        <v>0</v>
      </c>
      <c r="G90" s="529">
        <v>0</v>
      </c>
      <c r="H90" s="530">
        <v>0</v>
      </c>
      <c r="I90" s="528">
        <v>0</v>
      </c>
      <c r="J90" s="255">
        <f t="shared" si="27"/>
        <v>0</v>
      </c>
      <c r="K90" s="544">
        <v>0</v>
      </c>
      <c r="L90" s="528">
        <v>0</v>
      </c>
      <c r="M90" s="255">
        <f t="shared" si="28"/>
        <v>0</v>
      </c>
      <c r="N90" s="253">
        <f t="shared" si="30"/>
        <v>0</v>
      </c>
      <c r="O90" s="528">
        <v>0</v>
      </c>
      <c r="P90" s="280">
        <f t="shared" si="29"/>
        <v>0</v>
      </c>
      <c r="Q90" s="492"/>
    </row>
    <row r="91" spans="1:17" ht="18" customHeight="1">
      <c r="A91" s="530"/>
      <c r="B91" s="173" t="s">
        <v>91</v>
      </c>
      <c r="C91" s="528"/>
      <c r="D91" s="544">
        <v>0</v>
      </c>
      <c r="E91" s="544">
        <v>0</v>
      </c>
      <c r="F91" s="531">
        <v>0</v>
      </c>
      <c r="G91" s="529">
        <v>0</v>
      </c>
      <c r="H91" s="530">
        <v>0</v>
      </c>
      <c r="I91" s="528">
        <v>0</v>
      </c>
      <c r="J91" s="255">
        <f t="shared" si="27"/>
        <v>0</v>
      </c>
      <c r="K91" s="544">
        <v>0</v>
      </c>
      <c r="L91" s="528">
        <v>0</v>
      </c>
      <c r="M91" s="255">
        <f t="shared" si="28"/>
        <v>0</v>
      </c>
      <c r="N91" s="253">
        <f t="shared" si="30"/>
        <v>0</v>
      </c>
      <c r="O91" s="528">
        <v>0</v>
      </c>
      <c r="P91" s="280">
        <f t="shared" si="29"/>
        <v>0</v>
      </c>
      <c r="Q91" s="492"/>
    </row>
    <row r="92" spans="1:17" ht="18" customHeight="1">
      <c r="A92" s="530"/>
      <c r="B92" s="173" t="s">
        <v>92</v>
      </c>
      <c r="C92" s="528"/>
      <c r="D92" s="544">
        <v>0</v>
      </c>
      <c r="E92" s="544">
        <v>0</v>
      </c>
      <c r="F92" s="531">
        <v>0</v>
      </c>
      <c r="G92" s="529">
        <v>0</v>
      </c>
      <c r="H92" s="530">
        <v>0</v>
      </c>
      <c r="I92" s="528">
        <v>0</v>
      </c>
      <c r="J92" s="255">
        <f t="shared" si="27"/>
        <v>0</v>
      </c>
      <c r="K92" s="544">
        <v>0</v>
      </c>
      <c r="L92" s="528">
        <v>0</v>
      </c>
      <c r="M92" s="255">
        <f t="shared" si="28"/>
        <v>0</v>
      </c>
      <c r="N92" s="253">
        <f t="shared" si="30"/>
        <v>0</v>
      </c>
      <c r="O92" s="528">
        <v>0</v>
      </c>
      <c r="P92" s="280">
        <f t="shared" si="29"/>
        <v>0</v>
      </c>
      <c r="Q92" s="492"/>
    </row>
    <row r="93" spans="1:17" ht="18" customHeight="1">
      <c r="A93" s="530"/>
      <c r="B93" s="173"/>
      <c r="C93" s="528"/>
      <c r="D93" s="544"/>
      <c r="E93" s="544"/>
      <c r="F93" s="531"/>
      <c r="G93" s="529"/>
      <c r="H93" s="530"/>
      <c r="I93" s="528"/>
      <c r="J93" s="255"/>
      <c r="K93" s="544"/>
      <c r="L93" s="528"/>
      <c r="M93" s="255"/>
      <c r="N93" s="253"/>
      <c r="O93" s="528"/>
      <c r="P93" s="280"/>
      <c r="Q93" s="492"/>
    </row>
    <row r="94" spans="1:17" ht="18" customHeight="1">
      <c r="A94" s="530"/>
      <c r="B94" s="173" t="s">
        <v>93</v>
      </c>
      <c r="C94" s="528"/>
      <c r="D94" s="537">
        <v>0</v>
      </c>
      <c r="E94" s="537">
        <v>0</v>
      </c>
      <c r="F94" s="538">
        <v>0</v>
      </c>
      <c r="G94" s="539">
        <v>0</v>
      </c>
      <c r="H94" s="540">
        <v>0</v>
      </c>
      <c r="I94" s="541">
        <v>0</v>
      </c>
      <c r="J94" s="274">
        <f>+H94+I94</f>
        <v>0</v>
      </c>
      <c r="K94" s="537">
        <v>0</v>
      </c>
      <c r="L94" s="541">
        <v>0</v>
      </c>
      <c r="M94" s="274">
        <f>+K94+L94</f>
        <v>0</v>
      </c>
      <c r="N94" s="275">
        <f>ROUND(+K94*1.06,0)</f>
        <v>0</v>
      </c>
      <c r="O94" s="541">
        <v>0</v>
      </c>
      <c r="P94" s="278">
        <f>+N94+O94</f>
        <v>0</v>
      </c>
      <c r="Q94" s="492"/>
    </row>
    <row r="95" spans="1:17" ht="18" customHeight="1">
      <c r="A95" s="530"/>
      <c r="B95" s="173"/>
      <c r="C95" s="528"/>
      <c r="D95" s="527"/>
      <c r="E95" s="527"/>
      <c r="F95" s="531"/>
      <c r="G95" s="529"/>
      <c r="H95" s="530"/>
      <c r="I95" s="528"/>
      <c r="J95" s="531"/>
      <c r="K95" s="527"/>
      <c r="L95" s="528"/>
      <c r="M95" s="531"/>
      <c r="N95" s="530"/>
      <c r="O95" s="528"/>
      <c r="P95" s="528"/>
      <c r="Q95" s="492"/>
    </row>
    <row r="96" spans="1:17" ht="18" customHeight="1">
      <c r="A96" s="474" t="s">
        <v>14</v>
      </c>
      <c r="B96" s="173"/>
      <c r="C96" s="528"/>
      <c r="D96" s="527"/>
      <c r="E96" s="527"/>
      <c r="F96" s="531"/>
      <c r="G96" s="529"/>
      <c r="H96" s="530"/>
      <c r="I96" s="528"/>
      <c r="J96" s="531"/>
      <c r="K96" s="527"/>
      <c r="L96" s="528"/>
      <c r="M96" s="531"/>
      <c r="N96" s="530"/>
      <c r="O96" s="528"/>
      <c r="P96" s="528"/>
      <c r="Q96" s="492"/>
    </row>
    <row r="97" spans="1:17" ht="18" customHeight="1">
      <c r="A97" s="552" t="s">
        <v>183</v>
      </c>
      <c r="B97" s="173"/>
      <c r="C97" s="528"/>
      <c r="D97" s="527"/>
      <c r="E97" s="527"/>
      <c r="F97" s="531"/>
      <c r="G97" s="529"/>
      <c r="H97" s="530"/>
      <c r="I97" s="528"/>
      <c r="J97" s="531"/>
      <c r="K97" s="527"/>
      <c r="L97" s="528"/>
      <c r="M97" s="531"/>
      <c r="N97" s="530"/>
      <c r="O97" s="528"/>
      <c r="P97" s="528"/>
      <c r="Q97" s="492"/>
    </row>
    <row r="98" spans="1:17" ht="18" customHeight="1">
      <c r="A98" s="552" t="s">
        <v>184</v>
      </c>
      <c r="B98" s="173"/>
      <c r="C98" s="528"/>
      <c r="D98" s="112">
        <f aca="true" t="shared" si="31" ref="D98:J98">SUM(D99:D109)</f>
        <v>0</v>
      </c>
      <c r="E98" s="112">
        <f>SUM(E99:E109)</f>
        <v>0</v>
      </c>
      <c r="F98" s="117">
        <f>SUM(F99:F109)</f>
        <v>0</v>
      </c>
      <c r="G98" s="114">
        <f>SUM(G99:G109)</f>
        <v>0</v>
      </c>
      <c r="H98" s="115">
        <f>SUM(H99:H109)</f>
        <v>0</v>
      </c>
      <c r="I98" s="113">
        <f t="shared" si="31"/>
        <v>0</v>
      </c>
      <c r="J98" s="117">
        <f t="shared" si="31"/>
        <v>0</v>
      </c>
      <c r="K98" s="112">
        <f aca="true" t="shared" si="32" ref="K98:P98">SUM(K99:K109)</f>
        <v>0</v>
      </c>
      <c r="L98" s="113">
        <f t="shared" si="32"/>
        <v>0</v>
      </c>
      <c r="M98" s="117">
        <f t="shared" si="32"/>
        <v>0</v>
      </c>
      <c r="N98" s="115">
        <f t="shared" si="32"/>
        <v>0</v>
      </c>
      <c r="O98" s="113">
        <f t="shared" si="32"/>
        <v>0</v>
      </c>
      <c r="P98" s="113">
        <f t="shared" si="32"/>
        <v>0</v>
      </c>
      <c r="Q98" s="492"/>
    </row>
    <row r="99" spans="1:17" ht="18" customHeight="1">
      <c r="A99" s="530"/>
      <c r="B99" s="173" t="s">
        <v>84</v>
      </c>
      <c r="C99" s="528"/>
      <c r="D99" s="532">
        <v>0</v>
      </c>
      <c r="E99" s="532">
        <v>0</v>
      </c>
      <c r="F99" s="533">
        <v>0</v>
      </c>
      <c r="G99" s="534">
        <v>0</v>
      </c>
      <c r="H99" s="535">
        <v>0</v>
      </c>
      <c r="I99" s="536">
        <v>0</v>
      </c>
      <c r="J99" s="270">
        <f aca="true" t="shared" si="33" ref="J99:J107">+H99+I99</f>
        <v>0</v>
      </c>
      <c r="K99" s="532">
        <v>0</v>
      </c>
      <c r="L99" s="536">
        <v>0</v>
      </c>
      <c r="M99" s="270">
        <f aca="true" t="shared" si="34" ref="M99:M107">+K99+L99</f>
        <v>0</v>
      </c>
      <c r="N99" s="271">
        <f>ROUND(+K99*1.06,0)</f>
        <v>0</v>
      </c>
      <c r="O99" s="536">
        <v>0</v>
      </c>
      <c r="P99" s="272">
        <f aca="true" t="shared" si="35" ref="P99:P107">+N99+O99</f>
        <v>0</v>
      </c>
      <c r="Q99" s="492"/>
    </row>
    <row r="100" spans="1:17" ht="18" customHeight="1">
      <c r="A100" s="530"/>
      <c r="B100" s="173" t="s">
        <v>85</v>
      </c>
      <c r="C100" s="528"/>
      <c r="D100" s="544">
        <v>0</v>
      </c>
      <c r="E100" s="544">
        <v>0</v>
      </c>
      <c r="F100" s="531">
        <v>0</v>
      </c>
      <c r="G100" s="529">
        <v>0</v>
      </c>
      <c r="H100" s="530">
        <v>0</v>
      </c>
      <c r="I100" s="528">
        <v>0</v>
      </c>
      <c r="J100" s="255">
        <f t="shared" si="33"/>
        <v>0</v>
      </c>
      <c r="K100" s="544">
        <v>0</v>
      </c>
      <c r="L100" s="528">
        <v>0</v>
      </c>
      <c r="M100" s="255">
        <f t="shared" si="34"/>
        <v>0</v>
      </c>
      <c r="N100" s="253">
        <f aca="true" t="shared" si="36" ref="N100:N107">ROUND(+K100*1.06,0)</f>
        <v>0</v>
      </c>
      <c r="O100" s="528">
        <v>0</v>
      </c>
      <c r="P100" s="280">
        <f t="shared" si="35"/>
        <v>0</v>
      </c>
      <c r="Q100" s="492"/>
    </row>
    <row r="101" spans="1:17" ht="18" customHeight="1">
      <c r="A101" s="530"/>
      <c r="B101" s="173" t="s">
        <v>86</v>
      </c>
      <c r="C101" s="528"/>
      <c r="D101" s="544">
        <v>0</v>
      </c>
      <c r="E101" s="544">
        <v>0</v>
      </c>
      <c r="F101" s="531">
        <v>0</v>
      </c>
      <c r="G101" s="529">
        <v>0</v>
      </c>
      <c r="H101" s="530">
        <v>0</v>
      </c>
      <c r="I101" s="528">
        <v>0</v>
      </c>
      <c r="J101" s="255">
        <f t="shared" si="33"/>
        <v>0</v>
      </c>
      <c r="K101" s="544">
        <v>0</v>
      </c>
      <c r="L101" s="528">
        <v>0</v>
      </c>
      <c r="M101" s="255">
        <f t="shared" si="34"/>
        <v>0</v>
      </c>
      <c r="N101" s="253">
        <f t="shared" si="36"/>
        <v>0</v>
      </c>
      <c r="O101" s="528">
        <v>0</v>
      </c>
      <c r="P101" s="280">
        <f t="shared" si="35"/>
        <v>0</v>
      </c>
      <c r="Q101" s="492"/>
    </row>
    <row r="102" spans="1:17" ht="18" customHeight="1">
      <c r="A102" s="530"/>
      <c r="B102" s="173" t="s">
        <v>87</v>
      </c>
      <c r="C102" s="528"/>
      <c r="D102" s="544">
        <v>0</v>
      </c>
      <c r="E102" s="544">
        <v>0</v>
      </c>
      <c r="F102" s="531">
        <v>0</v>
      </c>
      <c r="G102" s="529">
        <v>0</v>
      </c>
      <c r="H102" s="530">
        <v>0</v>
      </c>
      <c r="I102" s="528">
        <v>0</v>
      </c>
      <c r="J102" s="255">
        <f t="shared" si="33"/>
        <v>0</v>
      </c>
      <c r="K102" s="544">
        <v>0</v>
      </c>
      <c r="L102" s="528">
        <v>0</v>
      </c>
      <c r="M102" s="255">
        <f t="shared" si="34"/>
        <v>0</v>
      </c>
      <c r="N102" s="253">
        <f t="shared" si="36"/>
        <v>0</v>
      </c>
      <c r="O102" s="528">
        <v>0</v>
      </c>
      <c r="P102" s="280">
        <f t="shared" si="35"/>
        <v>0</v>
      </c>
      <c r="Q102" s="492"/>
    </row>
    <row r="103" spans="1:17" ht="18" customHeight="1">
      <c r="A103" s="530"/>
      <c r="B103" s="173" t="s">
        <v>88</v>
      </c>
      <c r="C103" s="528"/>
      <c r="D103" s="544">
        <v>0</v>
      </c>
      <c r="E103" s="544">
        <v>0</v>
      </c>
      <c r="F103" s="531">
        <v>0</v>
      </c>
      <c r="G103" s="529">
        <v>0</v>
      </c>
      <c r="H103" s="530">
        <v>0</v>
      </c>
      <c r="I103" s="528">
        <v>0</v>
      </c>
      <c r="J103" s="255">
        <f t="shared" si="33"/>
        <v>0</v>
      </c>
      <c r="K103" s="544">
        <v>0</v>
      </c>
      <c r="L103" s="528">
        <v>0</v>
      </c>
      <c r="M103" s="255">
        <f t="shared" si="34"/>
        <v>0</v>
      </c>
      <c r="N103" s="253">
        <f t="shared" si="36"/>
        <v>0</v>
      </c>
      <c r="O103" s="528">
        <v>0</v>
      </c>
      <c r="P103" s="280">
        <f t="shared" si="35"/>
        <v>0</v>
      </c>
      <c r="Q103" s="492"/>
    </row>
    <row r="104" spans="1:17" ht="18" customHeight="1">
      <c r="A104" s="530"/>
      <c r="B104" s="173" t="s">
        <v>89</v>
      </c>
      <c r="C104" s="528"/>
      <c r="D104" s="544">
        <v>0</v>
      </c>
      <c r="E104" s="544">
        <v>0</v>
      </c>
      <c r="F104" s="531">
        <v>0</v>
      </c>
      <c r="G104" s="529">
        <v>0</v>
      </c>
      <c r="H104" s="530">
        <v>0</v>
      </c>
      <c r="I104" s="528">
        <v>0</v>
      </c>
      <c r="J104" s="255">
        <f t="shared" si="33"/>
        <v>0</v>
      </c>
      <c r="K104" s="544">
        <v>0</v>
      </c>
      <c r="L104" s="528">
        <v>0</v>
      </c>
      <c r="M104" s="255">
        <f t="shared" si="34"/>
        <v>0</v>
      </c>
      <c r="N104" s="253">
        <f t="shared" si="36"/>
        <v>0</v>
      </c>
      <c r="O104" s="528">
        <v>0</v>
      </c>
      <c r="P104" s="280">
        <f t="shared" si="35"/>
        <v>0</v>
      </c>
      <c r="Q104" s="492"/>
    </row>
    <row r="105" spans="1:17" ht="18" customHeight="1">
      <c r="A105" s="530"/>
      <c r="B105" s="173" t="s">
        <v>90</v>
      </c>
      <c r="C105" s="528"/>
      <c r="D105" s="544">
        <v>0</v>
      </c>
      <c r="E105" s="544">
        <v>0</v>
      </c>
      <c r="F105" s="531">
        <v>0</v>
      </c>
      <c r="G105" s="529">
        <v>0</v>
      </c>
      <c r="H105" s="530">
        <v>0</v>
      </c>
      <c r="I105" s="528">
        <v>0</v>
      </c>
      <c r="J105" s="255">
        <f t="shared" si="33"/>
        <v>0</v>
      </c>
      <c r="K105" s="544">
        <v>0</v>
      </c>
      <c r="L105" s="528">
        <v>0</v>
      </c>
      <c r="M105" s="255">
        <f t="shared" si="34"/>
        <v>0</v>
      </c>
      <c r="N105" s="253">
        <f t="shared" si="36"/>
        <v>0</v>
      </c>
      <c r="O105" s="528">
        <v>0</v>
      </c>
      <c r="P105" s="280">
        <f t="shared" si="35"/>
        <v>0</v>
      </c>
      <c r="Q105" s="492"/>
    </row>
    <row r="106" spans="1:17" ht="18" customHeight="1">
      <c r="A106" s="530"/>
      <c r="B106" s="173" t="s">
        <v>91</v>
      </c>
      <c r="C106" s="528"/>
      <c r="D106" s="544">
        <v>0</v>
      </c>
      <c r="E106" s="544">
        <v>0</v>
      </c>
      <c r="F106" s="531">
        <v>0</v>
      </c>
      <c r="G106" s="529">
        <v>0</v>
      </c>
      <c r="H106" s="530">
        <v>0</v>
      </c>
      <c r="I106" s="528">
        <v>0</v>
      </c>
      <c r="J106" s="255">
        <f t="shared" si="33"/>
        <v>0</v>
      </c>
      <c r="K106" s="544">
        <v>0</v>
      </c>
      <c r="L106" s="528">
        <v>0</v>
      </c>
      <c r="M106" s="255">
        <f t="shared" si="34"/>
        <v>0</v>
      </c>
      <c r="N106" s="253">
        <f t="shared" si="36"/>
        <v>0</v>
      </c>
      <c r="O106" s="528">
        <v>0</v>
      </c>
      <c r="P106" s="280">
        <f t="shared" si="35"/>
        <v>0</v>
      </c>
      <c r="Q106" s="492"/>
    </row>
    <row r="107" spans="1:17" ht="18" customHeight="1">
      <c r="A107" s="530"/>
      <c r="B107" s="173" t="s">
        <v>92</v>
      </c>
      <c r="C107" s="528"/>
      <c r="D107" s="544">
        <v>0</v>
      </c>
      <c r="E107" s="544">
        <v>0</v>
      </c>
      <c r="F107" s="531">
        <v>0</v>
      </c>
      <c r="G107" s="529">
        <v>0</v>
      </c>
      <c r="H107" s="530">
        <v>0</v>
      </c>
      <c r="I107" s="528">
        <v>0</v>
      </c>
      <c r="J107" s="255">
        <f t="shared" si="33"/>
        <v>0</v>
      </c>
      <c r="K107" s="544">
        <v>0</v>
      </c>
      <c r="L107" s="528">
        <v>0</v>
      </c>
      <c r="M107" s="255">
        <f t="shared" si="34"/>
        <v>0</v>
      </c>
      <c r="N107" s="253">
        <f t="shared" si="36"/>
        <v>0</v>
      </c>
      <c r="O107" s="528">
        <v>0</v>
      </c>
      <c r="P107" s="280">
        <f t="shared" si="35"/>
        <v>0</v>
      </c>
      <c r="Q107" s="492"/>
    </row>
    <row r="108" spans="1:17" ht="18" customHeight="1">
      <c r="A108" s="530"/>
      <c r="B108" s="173"/>
      <c r="C108" s="528"/>
      <c r="D108" s="544"/>
      <c r="E108" s="544"/>
      <c r="F108" s="531"/>
      <c r="G108" s="529"/>
      <c r="H108" s="530"/>
      <c r="I108" s="528"/>
      <c r="J108" s="255"/>
      <c r="K108" s="544"/>
      <c r="L108" s="528"/>
      <c r="M108" s="255"/>
      <c r="N108" s="253"/>
      <c r="O108" s="528"/>
      <c r="P108" s="280"/>
      <c r="Q108" s="492"/>
    </row>
    <row r="109" spans="1:17" ht="18" customHeight="1">
      <c r="A109" s="530"/>
      <c r="B109" s="173" t="s">
        <v>93</v>
      </c>
      <c r="C109" s="528"/>
      <c r="D109" s="537">
        <v>0</v>
      </c>
      <c r="E109" s="537">
        <v>0</v>
      </c>
      <c r="F109" s="538">
        <v>0</v>
      </c>
      <c r="G109" s="539">
        <v>0</v>
      </c>
      <c r="H109" s="540">
        <v>0</v>
      </c>
      <c r="I109" s="541">
        <v>0</v>
      </c>
      <c r="J109" s="274">
        <f>+H109+I109</f>
        <v>0</v>
      </c>
      <c r="K109" s="537">
        <v>0</v>
      </c>
      <c r="L109" s="541">
        <v>0</v>
      </c>
      <c r="M109" s="274">
        <f>+K109+L109</f>
        <v>0</v>
      </c>
      <c r="N109" s="275">
        <f>ROUND(+K109*1.06,0)</f>
        <v>0</v>
      </c>
      <c r="O109" s="541">
        <v>0</v>
      </c>
      <c r="P109" s="278">
        <f>+N109+O109</f>
        <v>0</v>
      </c>
      <c r="Q109" s="492"/>
    </row>
    <row r="110" spans="1:17" ht="18" customHeight="1">
      <c r="A110" s="530"/>
      <c r="B110" s="173"/>
      <c r="C110" s="528"/>
      <c r="D110" s="527"/>
      <c r="E110" s="527"/>
      <c r="F110" s="531"/>
      <c r="G110" s="529"/>
      <c r="H110" s="530"/>
      <c r="I110" s="528"/>
      <c r="J110" s="531"/>
      <c r="K110" s="527"/>
      <c r="L110" s="528"/>
      <c r="M110" s="531"/>
      <c r="N110" s="530"/>
      <c r="O110" s="528"/>
      <c r="P110" s="528"/>
      <c r="Q110" s="492"/>
    </row>
    <row r="111" spans="1:17" ht="18" customHeight="1">
      <c r="A111" s="474" t="s">
        <v>14</v>
      </c>
      <c r="B111" s="173"/>
      <c r="C111" s="528"/>
      <c r="D111" s="527"/>
      <c r="E111" s="527"/>
      <c r="F111" s="531"/>
      <c r="G111" s="529"/>
      <c r="H111" s="530"/>
      <c r="I111" s="528"/>
      <c r="J111" s="531"/>
      <c r="K111" s="527"/>
      <c r="L111" s="528"/>
      <c r="M111" s="531"/>
      <c r="N111" s="530"/>
      <c r="O111" s="528"/>
      <c r="P111" s="528"/>
      <c r="Q111" s="492"/>
    </row>
    <row r="112" spans="1:17" ht="18" customHeight="1">
      <c r="A112" s="552" t="s">
        <v>183</v>
      </c>
      <c r="B112" s="173"/>
      <c r="C112" s="528"/>
      <c r="D112" s="527"/>
      <c r="E112" s="527"/>
      <c r="F112" s="531"/>
      <c r="G112" s="529"/>
      <c r="H112" s="530"/>
      <c r="I112" s="528"/>
      <c r="J112" s="531"/>
      <c r="K112" s="527"/>
      <c r="L112" s="528"/>
      <c r="M112" s="531"/>
      <c r="N112" s="530"/>
      <c r="O112" s="528"/>
      <c r="P112" s="528"/>
      <c r="Q112" s="492"/>
    </row>
    <row r="113" spans="1:17" ht="18" customHeight="1">
      <c r="A113" s="552" t="s">
        <v>184</v>
      </c>
      <c r="B113" s="173"/>
      <c r="C113" s="528"/>
      <c r="D113" s="112">
        <f aca="true" t="shared" si="37" ref="D113:J113">SUM(D114:D124)</f>
        <v>0</v>
      </c>
      <c r="E113" s="112">
        <f>SUM(E114:E124)</f>
        <v>0</v>
      </c>
      <c r="F113" s="117">
        <f>SUM(F114:F124)</f>
        <v>0</v>
      </c>
      <c r="G113" s="114">
        <f>SUM(G114:G124)</f>
        <v>0</v>
      </c>
      <c r="H113" s="115">
        <f>SUM(H114:H124)</f>
        <v>0</v>
      </c>
      <c r="I113" s="113">
        <f t="shared" si="37"/>
        <v>0</v>
      </c>
      <c r="J113" s="117">
        <f t="shared" si="37"/>
        <v>0</v>
      </c>
      <c r="K113" s="112">
        <f aca="true" t="shared" si="38" ref="K113:P113">SUM(K114:K124)</f>
        <v>0</v>
      </c>
      <c r="L113" s="113">
        <f t="shared" si="38"/>
        <v>0</v>
      </c>
      <c r="M113" s="117">
        <f t="shared" si="38"/>
        <v>0</v>
      </c>
      <c r="N113" s="115">
        <f t="shared" si="38"/>
        <v>0</v>
      </c>
      <c r="O113" s="113">
        <f t="shared" si="38"/>
        <v>0</v>
      </c>
      <c r="P113" s="113">
        <f t="shared" si="38"/>
        <v>0</v>
      </c>
      <c r="Q113" s="492"/>
    </row>
    <row r="114" spans="1:17" ht="18" customHeight="1">
      <c r="A114" s="530"/>
      <c r="B114" s="173" t="s">
        <v>84</v>
      </c>
      <c r="C114" s="528"/>
      <c r="D114" s="532">
        <v>0</v>
      </c>
      <c r="E114" s="532">
        <v>0</v>
      </c>
      <c r="F114" s="533">
        <v>0</v>
      </c>
      <c r="G114" s="534">
        <v>0</v>
      </c>
      <c r="H114" s="535">
        <v>0</v>
      </c>
      <c r="I114" s="536">
        <v>0</v>
      </c>
      <c r="J114" s="270">
        <f aca="true" t="shared" si="39" ref="J114:J122">+H114+I114</f>
        <v>0</v>
      </c>
      <c r="K114" s="532">
        <v>0</v>
      </c>
      <c r="L114" s="536">
        <v>0</v>
      </c>
      <c r="M114" s="270">
        <f aca="true" t="shared" si="40" ref="M114:M122">+K114+L114</f>
        <v>0</v>
      </c>
      <c r="N114" s="271">
        <f>ROUND(+K114*1.06,0)</f>
        <v>0</v>
      </c>
      <c r="O114" s="536">
        <v>0</v>
      </c>
      <c r="P114" s="272">
        <f aca="true" t="shared" si="41" ref="P114:P122">+N114+O114</f>
        <v>0</v>
      </c>
      <c r="Q114" s="492"/>
    </row>
    <row r="115" spans="1:17" ht="18" customHeight="1">
      <c r="A115" s="530"/>
      <c r="B115" s="173" t="s">
        <v>85</v>
      </c>
      <c r="C115" s="528"/>
      <c r="D115" s="544">
        <v>0</v>
      </c>
      <c r="E115" s="544">
        <v>0</v>
      </c>
      <c r="F115" s="531">
        <v>0</v>
      </c>
      <c r="G115" s="529">
        <v>0</v>
      </c>
      <c r="H115" s="530">
        <v>0</v>
      </c>
      <c r="I115" s="528">
        <v>0</v>
      </c>
      <c r="J115" s="255">
        <f t="shared" si="39"/>
        <v>0</v>
      </c>
      <c r="K115" s="544">
        <v>0</v>
      </c>
      <c r="L115" s="528">
        <v>0</v>
      </c>
      <c r="M115" s="255">
        <f t="shared" si="40"/>
        <v>0</v>
      </c>
      <c r="N115" s="253">
        <f aca="true" t="shared" si="42" ref="N115:N122">ROUND(+K115*1.06,0)</f>
        <v>0</v>
      </c>
      <c r="O115" s="528">
        <v>0</v>
      </c>
      <c r="P115" s="280">
        <f t="shared" si="41"/>
        <v>0</v>
      </c>
      <c r="Q115" s="492"/>
    </row>
    <row r="116" spans="1:17" ht="18" customHeight="1">
      <c r="A116" s="530"/>
      <c r="B116" s="173" t="s">
        <v>86</v>
      </c>
      <c r="C116" s="528"/>
      <c r="D116" s="544">
        <v>0</v>
      </c>
      <c r="E116" s="544">
        <v>0</v>
      </c>
      <c r="F116" s="531">
        <v>0</v>
      </c>
      <c r="G116" s="529">
        <v>0</v>
      </c>
      <c r="H116" s="530">
        <v>0</v>
      </c>
      <c r="I116" s="528">
        <v>0</v>
      </c>
      <c r="J116" s="255">
        <f t="shared" si="39"/>
        <v>0</v>
      </c>
      <c r="K116" s="544">
        <v>0</v>
      </c>
      <c r="L116" s="528">
        <v>0</v>
      </c>
      <c r="M116" s="255">
        <f t="shared" si="40"/>
        <v>0</v>
      </c>
      <c r="N116" s="253">
        <f t="shared" si="42"/>
        <v>0</v>
      </c>
      <c r="O116" s="528">
        <v>0</v>
      </c>
      <c r="P116" s="280">
        <f t="shared" si="41"/>
        <v>0</v>
      </c>
      <c r="Q116" s="492"/>
    </row>
    <row r="117" spans="1:17" ht="18" customHeight="1">
      <c r="A117" s="530"/>
      <c r="B117" s="173" t="s">
        <v>87</v>
      </c>
      <c r="C117" s="528"/>
      <c r="D117" s="544">
        <v>0</v>
      </c>
      <c r="E117" s="544">
        <v>0</v>
      </c>
      <c r="F117" s="531">
        <v>0</v>
      </c>
      <c r="G117" s="529">
        <v>0</v>
      </c>
      <c r="H117" s="530">
        <v>0</v>
      </c>
      <c r="I117" s="528">
        <v>0</v>
      </c>
      <c r="J117" s="255">
        <f t="shared" si="39"/>
        <v>0</v>
      </c>
      <c r="K117" s="544">
        <v>0</v>
      </c>
      <c r="L117" s="528">
        <v>0</v>
      </c>
      <c r="M117" s="255">
        <f t="shared" si="40"/>
        <v>0</v>
      </c>
      <c r="N117" s="253">
        <f t="shared" si="42"/>
        <v>0</v>
      </c>
      <c r="O117" s="528">
        <v>0</v>
      </c>
      <c r="P117" s="280">
        <f t="shared" si="41"/>
        <v>0</v>
      </c>
      <c r="Q117" s="492"/>
    </row>
    <row r="118" spans="1:17" ht="18" customHeight="1">
      <c r="A118" s="530"/>
      <c r="B118" s="173" t="s">
        <v>88</v>
      </c>
      <c r="C118" s="528"/>
      <c r="D118" s="544">
        <v>0</v>
      </c>
      <c r="E118" s="544">
        <v>0</v>
      </c>
      <c r="F118" s="531">
        <v>0</v>
      </c>
      <c r="G118" s="529">
        <v>0</v>
      </c>
      <c r="H118" s="530">
        <v>0</v>
      </c>
      <c r="I118" s="528">
        <v>0</v>
      </c>
      <c r="J118" s="255">
        <f t="shared" si="39"/>
        <v>0</v>
      </c>
      <c r="K118" s="544">
        <v>0</v>
      </c>
      <c r="L118" s="528">
        <v>0</v>
      </c>
      <c r="M118" s="255">
        <f t="shared" si="40"/>
        <v>0</v>
      </c>
      <c r="N118" s="253">
        <f t="shared" si="42"/>
        <v>0</v>
      </c>
      <c r="O118" s="528">
        <v>0</v>
      </c>
      <c r="P118" s="280">
        <f t="shared" si="41"/>
        <v>0</v>
      </c>
      <c r="Q118" s="492"/>
    </row>
    <row r="119" spans="1:17" ht="18" customHeight="1">
      <c r="A119" s="530"/>
      <c r="B119" s="173" t="s">
        <v>89</v>
      </c>
      <c r="C119" s="528"/>
      <c r="D119" s="544">
        <v>0</v>
      </c>
      <c r="E119" s="544">
        <v>0</v>
      </c>
      <c r="F119" s="531">
        <v>0</v>
      </c>
      <c r="G119" s="529">
        <v>0</v>
      </c>
      <c r="H119" s="530">
        <v>0</v>
      </c>
      <c r="I119" s="528">
        <v>0</v>
      </c>
      <c r="J119" s="255">
        <f t="shared" si="39"/>
        <v>0</v>
      </c>
      <c r="K119" s="544">
        <v>0</v>
      </c>
      <c r="L119" s="528">
        <v>0</v>
      </c>
      <c r="M119" s="255">
        <f t="shared" si="40"/>
        <v>0</v>
      </c>
      <c r="N119" s="253">
        <f t="shared" si="42"/>
        <v>0</v>
      </c>
      <c r="O119" s="528">
        <v>0</v>
      </c>
      <c r="P119" s="280">
        <f t="shared" si="41"/>
        <v>0</v>
      </c>
      <c r="Q119" s="492"/>
    </row>
    <row r="120" spans="1:17" ht="18" customHeight="1">
      <c r="A120" s="530"/>
      <c r="B120" s="173" t="s">
        <v>90</v>
      </c>
      <c r="C120" s="528"/>
      <c r="D120" s="544">
        <v>0</v>
      </c>
      <c r="E120" s="544">
        <v>0</v>
      </c>
      <c r="F120" s="531">
        <v>0</v>
      </c>
      <c r="G120" s="529">
        <v>0</v>
      </c>
      <c r="H120" s="530">
        <v>0</v>
      </c>
      <c r="I120" s="528">
        <v>0</v>
      </c>
      <c r="J120" s="255">
        <f t="shared" si="39"/>
        <v>0</v>
      </c>
      <c r="K120" s="544">
        <v>0</v>
      </c>
      <c r="L120" s="528">
        <v>0</v>
      </c>
      <c r="M120" s="255">
        <f t="shared" si="40"/>
        <v>0</v>
      </c>
      <c r="N120" s="253">
        <f t="shared" si="42"/>
        <v>0</v>
      </c>
      <c r="O120" s="528">
        <v>0</v>
      </c>
      <c r="P120" s="280">
        <f t="shared" si="41"/>
        <v>0</v>
      </c>
      <c r="Q120" s="492"/>
    </row>
    <row r="121" spans="1:17" ht="18" customHeight="1">
      <c r="A121" s="530"/>
      <c r="B121" s="173" t="s">
        <v>91</v>
      </c>
      <c r="C121" s="528"/>
      <c r="D121" s="544">
        <v>0</v>
      </c>
      <c r="E121" s="544">
        <v>0</v>
      </c>
      <c r="F121" s="531">
        <v>0</v>
      </c>
      <c r="G121" s="529">
        <v>0</v>
      </c>
      <c r="H121" s="530">
        <v>0</v>
      </c>
      <c r="I121" s="528">
        <v>0</v>
      </c>
      <c r="J121" s="255">
        <f t="shared" si="39"/>
        <v>0</v>
      </c>
      <c r="K121" s="544">
        <v>0</v>
      </c>
      <c r="L121" s="528">
        <v>0</v>
      </c>
      <c r="M121" s="255">
        <f t="shared" si="40"/>
        <v>0</v>
      </c>
      <c r="N121" s="253">
        <f t="shared" si="42"/>
        <v>0</v>
      </c>
      <c r="O121" s="528">
        <v>0</v>
      </c>
      <c r="P121" s="280">
        <f t="shared" si="41"/>
        <v>0</v>
      </c>
      <c r="Q121" s="492"/>
    </row>
    <row r="122" spans="1:17" ht="18" customHeight="1">
      <c r="A122" s="530"/>
      <c r="B122" s="173" t="s">
        <v>92</v>
      </c>
      <c r="C122" s="528"/>
      <c r="D122" s="544">
        <v>0</v>
      </c>
      <c r="E122" s="544">
        <v>0</v>
      </c>
      <c r="F122" s="531">
        <v>0</v>
      </c>
      <c r="G122" s="529">
        <v>0</v>
      </c>
      <c r="H122" s="530">
        <v>0</v>
      </c>
      <c r="I122" s="528">
        <v>0</v>
      </c>
      <c r="J122" s="255">
        <f t="shared" si="39"/>
        <v>0</v>
      </c>
      <c r="K122" s="544">
        <v>0</v>
      </c>
      <c r="L122" s="528">
        <v>0</v>
      </c>
      <c r="M122" s="255">
        <f t="shared" si="40"/>
        <v>0</v>
      </c>
      <c r="N122" s="253">
        <f t="shared" si="42"/>
        <v>0</v>
      </c>
      <c r="O122" s="528">
        <v>0</v>
      </c>
      <c r="P122" s="280">
        <f t="shared" si="41"/>
        <v>0</v>
      </c>
      <c r="Q122" s="492"/>
    </row>
    <row r="123" spans="1:17" ht="18" customHeight="1">
      <c r="A123" s="530"/>
      <c r="B123" s="173"/>
      <c r="C123" s="528"/>
      <c r="D123" s="544"/>
      <c r="E123" s="544"/>
      <c r="F123" s="531"/>
      <c r="G123" s="529"/>
      <c r="H123" s="530"/>
      <c r="I123" s="528"/>
      <c r="J123" s="255"/>
      <c r="K123" s="544"/>
      <c r="L123" s="528"/>
      <c r="M123" s="255"/>
      <c r="N123" s="253"/>
      <c r="O123" s="528"/>
      <c r="P123" s="280"/>
      <c r="Q123" s="492"/>
    </row>
    <row r="124" spans="1:17" ht="18" customHeight="1">
      <c r="A124" s="530"/>
      <c r="B124" s="173" t="s">
        <v>93</v>
      </c>
      <c r="C124" s="528"/>
      <c r="D124" s="537">
        <v>0</v>
      </c>
      <c r="E124" s="537">
        <v>0</v>
      </c>
      <c r="F124" s="538">
        <v>0</v>
      </c>
      <c r="G124" s="539">
        <v>0</v>
      </c>
      <c r="H124" s="540">
        <v>0</v>
      </c>
      <c r="I124" s="541">
        <v>0</v>
      </c>
      <c r="J124" s="274">
        <f>+H124+I124</f>
        <v>0</v>
      </c>
      <c r="K124" s="537">
        <v>0</v>
      </c>
      <c r="L124" s="541">
        <v>0</v>
      </c>
      <c r="M124" s="274">
        <f>+K124+L124</f>
        <v>0</v>
      </c>
      <c r="N124" s="275">
        <f>ROUND(+K124*1.06,0)</f>
        <v>0</v>
      </c>
      <c r="O124" s="541">
        <v>0</v>
      </c>
      <c r="P124" s="278">
        <f>+N124+O124</f>
        <v>0</v>
      </c>
      <c r="Q124" s="492"/>
    </row>
    <row r="125" spans="1:17" ht="18" customHeight="1">
      <c r="A125" s="530"/>
      <c r="B125" s="173"/>
      <c r="C125" s="528"/>
      <c r="D125" s="527"/>
      <c r="E125" s="527"/>
      <c r="F125" s="531"/>
      <c r="G125" s="529"/>
      <c r="H125" s="530"/>
      <c r="I125" s="528"/>
      <c r="J125" s="531"/>
      <c r="K125" s="527"/>
      <c r="L125" s="528"/>
      <c r="M125" s="531"/>
      <c r="N125" s="530"/>
      <c r="O125" s="528"/>
      <c r="P125" s="528"/>
      <c r="Q125" s="492"/>
    </row>
    <row r="126" spans="1:17" ht="18" customHeight="1">
      <c r="A126" s="474" t="s">
        <v>14</v>
      </c>
      <c r="B126" s="173"/>
      <c r="C126" s="528"/>
      <c r="D126" s="527"/>
      <c r="E126" s="527"/>
      <c r="F126" s="531"/>
      <c r="G126" s="529"/>
      <c r="H126" s="530"/>
      <c r="I126" s="528"/>
      <c r="J126" s="531"/>
      <c r="K126" s="527"/>
      <c r="L126" s="528"/>
      <c r="M126" s="531"/>
      <c r="N126" s="530"/>
      <c r="O126" s="528"/>
      <c r="P126" s="528"/>
      <c r="Q126" s="492"/>
    </row>
    <row r="127" spans="1:17" ht="18" customHeight="1">
      <c r="A127" s="810" t="s">
        <v>183</v>
      </c>
      <c r="B127" s="173"/>
      <c r="C127" s="528"/>
      <c r="D127" s="527"/>
      <c r="E127" s="527"/>
      <c r="F127" s="531"/>
      <c r="G127" s="529"/>
      <c r="H127" s="530"/>
      <c r="I127" s="528"/>
      <c r="J127" s="531"/>
      <c r="K127" s="527"/>
      <c r="L127" s="528"/>
      <c r="M127" s="531"/>
      <c r="N127" s="530"/>
      <c r="O127" s="528"/>
      <c r="P127" s="528"/>
      <c r="Q127" s="492"/>
    </row>
    <row r="128" spans="1:17" ht="18" customHeight="1">
      <c r="A128" s="552" t="s">
        <v>184</v>
      </c>
      <c r="B128" s="173"/>
      <c r="C128" s="528"/>
      <c r="D128" s="112">
        <f aca="true" t="shared" si="43" ref="D128:J128">SUM(D129:D139)</f>
        <v>0</v>
      </c>
      <c r="E128" s="112">
        <f>SUM(E129:E139)</f>
        <v>0</v>
      </c>
      <c r="F128" s="117">
        <f>SUM(F129:F139)</f>
        <v>0</v>
      </c>
      <c r="G128" s="114">
        <f>SUM(G129:G139)</f>
        <v>0</v>
      </c>
      <c r="H128" s="115">
        <f>SUM(H129:H139)</f>
        <v>0</v>
      </c>
      <c r="I128" s="113">
        <f t="shared" si="43"/>
        <v>0</v>
      </c>
      <c r="J128" s="117">
        <f t="shared" si="43"/>
        <v>0</v>
      </c>
      <c r="K128" s="112">
        <f aca="true" t="shared" si="44" ref="K128:P128">SUM(K129:K139)</f>
        <v>0</v>
      </c>
      <c r="L128" s="113">
        <f t="shared" si="44"/>
        <v>0</v>
      </c>
      <c r="M128" s="117">
        <f t="shared" si="44"/>
        <v>0</v>
      </c>
      <c r="N128" s="115">
        <f t="shared" si="44"/>
        <v>0</v>
      </c>
      <c r="O128" s="113">
        <f t="shared" si="44"/>
        <v>0</v>
      </c>
      <c r="P128" s="113">
        <f t="shared" si="44"/>
        <v>0</v>
      </c>
      <c r="Q128" s="492"/>
    </row>
    <row r="129" spans="1:17" ht="18" customHeight="1">
      <c r="A129" s="530"/>
      <c r="B129" s="173" t="s">
        <v>84</v>
      </c>
      <c r="C129" s="528"/>
      <c r="D129" s="532">
        <v>0</v>
      </c>
      <c r="E129" s="532">
        <v>0</v>
      </c>
      <c r="F129" s="533">
        <v>0</v>
      </c>
      <c r="G129" s="534">
        <v>0</v>
      </c>
      <c r="H129" s="535">
        <v>0</v>
      </c>
      <c r="I129" s="536">
        <v>0</v>
      </c>
      <c r="J129" s="270">
        <f aca="true" t="shared" si="45" ref="J129:J137">+H129+I129</f>
        <v>0</v>
      </c>
      <c r="K129" s="532">
        <v>0</v>
      </c>
      <c r="L129" s="536">
        <v>0</v>
      </c>
      <c r="M129" s="270">
        <f aca="true" t="shared" si="46" ref="M129:M137">+K129+L129</f>
        <v>0</v>
      </c>
      <c r="N129" s="271">
        <f>ROUND(+K129*1.06,0)</f>
        <v>0</v>
      </c>
      <c r="O129" s="536">
        <v>0</v>
      </c>
      <c r="P129" s="272">
        <f aca="true" t="shared" si="47" ref="P129:P137">+N129+O129</f>
        <v>0</v>
      </c>
      <c r="Q129" s="492"/>
    </row>
    <row r="130" spans="1:17" ht="18" customHeight="1">
      <c r="A130" s="530"/>
      <c r="B130" s="173" t="s">
        <v>85</v>
      </c>
      <c r="C130" s="528"/>
      <c r="D130" s="544">
        <v>0</v>
      </c>
      <c r="E130" s="544">
        <v>0</v>
      </c>
      <c r="F130" s="531">
        <v>0</v>
      </c>
      <c r="G130" s="529">
        <v>0</v>
      </c>
      <c r="H130" s="530">
        <v>0</v>
      </c>
      <c r="I130" s="528">
        <v>0</v>
      </c>
      <c r="J130" s="255">
        <f t="shared" si="45"/>
        <v>0</v>
      </c>
      <c r="K130" s="544">
        <v>0</v>
      </c>
      <c r="L130" s="528">
        <v>0</v>
      </c>
      <c r="M130" s="255">
        <f t="shared" si="46"/>
        <v>0</v>
      </c>
      <c r="N130" s="253">
        <f aca="true" t="shared" si="48" ref="N130:N137">ROUND(+K130*1.06,0)</f>
        <v>0</v>
      </c>
      <c r="O130" s="528">
        <v>0</v>
      </c>
      <c r="P130" s="280">
        <f t="shared" si="47"/>
        <v>0</v>
      </c>
      <c r="Q130" s="492"/>
    </row>
    <row r="131" spans="1:17" ht="18" customHeight="1">
      <c r="A131" s="530"/>
      <c r="B131" s="173" t="s">
        <v>86</v>
      </c>
      <c r="C131" s="528"/>
      <c r="D131" s="544">
        <v>0</v>
      </c>
      <c r="E131" s="544">
        <v>0</v>
      </c>
      <c r="F131" s="531">
        <v>0</v>
      </c>
      <c r="G131" s="529">
        <v>0</v>
      </c>
      <c r="H131" s="530">
        <v>0</v>
      </c>
      <c r="I131" s="528">
        <v>0</v>
      </c>
      <c r="J131" s="255">
        <f t="shared" si="45"/>
        <v>0</v>
      </c>
      <c r="K131" s="544">
        <v>0</v>
      </c>
      <c r="L131" s="528">
        <v>0</v>
      </c>
      <c r="M131" s="255">
        <f t="shared" si="46"/>
        <v>0</v>
      </c>
      <c r="N131" s="253">
        <f t="shared" si="48"/>
        <v>0</v>
      </c>
      <c r="O131" s="528">
        <v>0</v>
      </c>
      <c r="P131" s="280">
        <f t="shared" si="47"/>
        <v>0</v>
      </c>
      <c r="Q131" s="492"/>
    </row>
    <row r="132" spans="1:17" ht="18" customHeight="1">
      <c r="A132" s="530"/>
      <c r="B132" s="173" t="s">
        <v>87</v>
      </c>
      <c r="C132" s="528"/>
      <c r="D132" s="544">
        <v>0</v>
      </c>
      <c r="E132" s="544">
        <v>0</v>
      </c>
      <c r="F132" s="531">
        <v>0</v>
      </c>
      <c r="G132" s="529">
        <v>0</v>
      </c>
      <c r="H132" s="530">
        <v>0</v>
      </c>
      <c r="I132" s="528">
        <v>0</v>
      </c>
      <c r="J132" s="255">
        <f t="shared" si="45"/>
        <v>0</v>
      </c>
      <c r="K132" s="544">
        <v>0</v>
      </c>
      <c r="L132" s="528">
        <v>0</v>
      </c>
      <c r="M132" s="255">
        <f t="shared" si="46"/>
        <v>0</v>
      </c>
      <c r="N132" s="253">
        <f t="shared" si="48"/>
        <v>0</v>
      </c>
      <c r="O132" s="528">
        <v>0</v>
      </c>
      <c r="P132" s="280">
        <f t="shared" si="47"/>
        <v>0</v>
      </c>
      <c r="Q132" s="492"/>
    </row>
    <row r="133" spans="1:17" ht="18" customHeight="1">
      <c r="A133" s="530"/>
      <c r="B133" s="173" t="s">
        <v>88</v>
      </c>
      <c r="C133" s="528"/>
      <c r="D133" s="544">
        <v>0</v>
      </c>
      <c r="E133" s="544">
        <v>0</v>
      </c>
      <c r="F133" s="531">
        <v>0</v>
      </c>
      <c r="G133" s="529">
        <v>0</v>
      </c>
      <c r="H133" s="530">
        <v>0</v>
      </c>
      <c r="I133" s="528">
        <v>0</v>
      </c>
      <c r="J133" s="255">
        <f t="shared" si="45"/>
        <v>0</v>
      </c>
      <c r="K133" s="544">
        <v>0</v>
      </c>
      <c r="L133" s="528">
        <v>0</v>
      </c>
      <c r="M133" s="255">
        <f t="shared" si="46"/>
        <v>0</v>
      </c>
      <c r="N133" s="253">
        <f t="shared" si="48"/>
        <v>0</v>
      </c>
      <c r="O133" s="528">
        <v>0</v>
      </c>
      <c r="P133" s="280">
        <f t="shared" si="47"/>
        <v>0</v>
      </c>
      <c r="Q133" s="492"/>
    </row>
    <row r="134" spans="1:17" ht="18" customHeight="1">
      <c r="A134" s="530"/>
      <c r="B134" s="173" t="s">
        <v>89</v>
      </c>
      <c r="C134" s="528"/>
      <c r="D134" s="544">
        <v>0</v>
      </c>
      <c r="E134" s="544">
        <v>0</v>
      </c>
      <c r="F134" s="531">
        <v>0</v>
      </c>
      <c r="G134" s="529">
        <v>0</v>
      </c>
      <c r="H134" s="530">
        <v>0</v>
      </c>
      <c r="I134" s="528">
        <v>0</v>
      </c>
      <c r="J134" s="255">
        <f t="shared" si="45"/>
        <v>0</v>
      </c>
      <c r="K134" s="544">
        <v>0</v>
      </c>
      <c r="L134" s="528">
        <v>0</v>
      </c>
      <c r="M134" s="255">
        <f t="shared" si="46"/>
        <v>0</v>
      </c>
      <c r="N134" s="253">
        <f t="shared" si="48"/>
        <v>0</v>
      </c>
      <c r="O134" s="528">
        <v>0</v>
      </c>
      <c r="P134" s="280">
        <f t="shared" si="47"/>
        <v>0</v>
      </c>
      <c r="Q134" s="492"/>
    </row>
    <row r="135" spans="1:17" ht="18" customHeight="1">
      <c r="A135" s="530"/>
      <c r="B135" s="173" t="s">
        <v>90</v>
      </c>
      <c r="C135" s="528"/>
      <c r="D135" s="544">
        <v>0</v>
      </c>
      <c r="E135" s="544">
        <v>0</v>
      </c>
      <c r="F135" s="531">
        <v>0</v>
      </c>
      <c r="G135" s="529">
        <v>0</v>
      </c>
      <c r="H135" s="530">
        <v>0</v>
      </c>
      <c r="I135" s="528">
        <v>0</v>
      </c>
      <c r="J135" s="255">
        <f t="shared" si="45"/>
        <v>0</v>
      </c>
      <c r="K135" s="544">
        <v>0</v>
      </c>
      <c r="L135" s="528">
        <v>0</v>
      </c>
      <c r="M135" s="255">
        <f t="shared" si="46"/>
        <v>0</v>
      </c>
      <c r="N135" s="253">
        <f t="shared" si="48"/>
        <v>0</v>
      </c>
      <c r="O135" s="528">
        <v>0</v>
      </c>
      <c r="P135" s="280">
        <f t="shared" si="47"/>
        <v>0</v>
      </c>
      <c r="Q135" s="492"/>
    </row>
    <row r="136" spans="1:17" ht="18" customHeight="1">
      <c r="A136" s="530"/>
      <c r="B136" s="173" t="s">
        <v>91</v>
      </c>
      <c r="C136" s="528"/>
      <c r="D136" s="544">
        <v>0</v>
      </c>
      <c r="E136" s="544">
        <v>0</v>
      </c>
      <c r="F136" s="531">
        <v>0</v>
      </c>
      <c r="G136" s="529">
        <v>0</v>
      </c>
      <c r="H136" s="530">
        <v>0</v>
      </c>
      <c r="I136" s="528">
        <v>0</v>
      </c>
      <c r="J136" s="255">
        <f t="shared" si="45"/>
        <v>0</v>
      </c>
      <c r="K136" s="544">
        <v>0</v>
      </c>
      <c r="L136" s="528">
        <v>0</v>
      </c>
      <c r="M136" s="255">
        <f t="shared" si="46"/>
        <v>0</v>
      </c>
      <c r="N136" s="253">
        <f t="shared" si="48"/>
        <v>0</v>
      </c>
      <c r="O136" s="528">
        <v>0</v>
      </c>
      <c r="P136" s="280">
        <f t="shared" si="47"/>
        <v>0</v>
      </c>
      <c r="Q136" s="492"/>
    </row>
    <row r="137" spans="1:17" ht="18" customHeight="1">
      <c r="A137" s="530"/>
      <c r="B137" s="173" t="s">
        <v>92</v>
      </c>
      <c r="C137" s="528"/>
      <c r="D137" s="544">
        <v>0</v>
      </c>
      <c r="E137" s="544">
        <v>0</v>
      </c>
      <c r="F137" s="531">
        <v>0</v>
      </c>
      <c r="G137" s="529">
        <v>0</v>
      </c>
      <c r="H137" s="530">
        <v>0</v>
      </c>
      <c r="I137" s="528">
        <v>0</v>
      </c>
      <c r="J137" s="255">
        <f t="shared" si="45"/>
        <v>0</v>
      </c>
      <c r="K137" s="544">
        <v>0</v>
      </c>
      <c r="L137" s="528">
        <v>0</v>
      </c>
      <c r="M137" s="255">
        <f t="shared" si="46"/>
        <v>0</v>
      </c>
      <c r="N137" s="253">
        <f t="shared" si="48"/>
        <v>0</v>
      </c>
      <c r="O137" s="528">
        <v>0</v>
      </c>
      <c r="P137" s="280">
        <f t="shared" si="47"/>
        <v>0</v>
      </c>
      <c r="Q137" s="492"/>
    </row>
    <row r="138" spans="1:17" ht="18" customHeight="1">
      <c r="A138" s="530"/>
      <c r="B138" s="173"/>
      <c r="C138" s="528"/>
      <c r="D138" s="544"/>
      <c r="E138" s="544"/>
      <c r="F138" s="531"/>
      <c r="G138" s="529"/>
      <c r="H138" s="530"/>
      <c r="I138" s="528"/>
      <c r="J138" s="255"/>
      <c r="K138" s="544"/>
      <c r="L138" s="528"/>
      <c r="M138" s="255"/>
      <c r="N138" s="253"/>
      <c r="O138" s="528"/>
      <c r="P138" s="280"/>
      <c r="Q138" s="492"/>
    </row>
    <row r="139" spans="1:17" ht="18" customHeight="1">
      <c r="A139" s="530"/>
      <c r="B139" s="173" t="s">
        <v>93</v>
      </c>
      <c r="C139" s="528"/>
      <c r="D139" s="537">
        <v>0</v>
      </c>
      <c r="E139" s="537">
        <v>0</v>
      </c>
      <c r="F139" s="538">
        <v>0</v>
      </c>
      <c r="G139" s="539">
        <v>0</v>
      </c>
      <c r="H139" s="540">
        <v>0</v>
      </c>
      <c r="I139" s="541">
        <v>0</v>
      </c>
      <c r="J139" s="274">
        <f>+H139+I139</f>
        <v>0</v>
      </c>
      <c r="K139" s="537">
        <v>0</v>
      </c>
      <c r="L139" s="541">
        <v>0</v>
      </c>
      <c r="M139" s="274">
        <f>+K139+L139</f>
        <v>0</v>
      </c>
      <c r="N139" s="275">
        <f>ROUND(+K139*1.06,0)</f>
        <v>0</v>
      </c>
      <c r="O139" s="541">
        <v>0</v>
      </c>
      <c r="P139" s="278">
        <f>+N139+O139</f>
        <v>0</v>
      </c>
      <c r="Q139" s="492"/>
    </row>
    <row r="140" spans="1:17" ht="18" customHeight="1" thickBot="1">
      <c r="A140" s="530"/>
      <c r="B140" s="173"/>
      <c r="C140" s="528"/>
      <c r="D140" s="527"/>
      <c r="E140" s="528"/>
      <c r="F140" s="528"/>
      <c r="G140" s="529"/>
      <c r="H140" s="527"/>
      <c r="I140" s="528"/>
      <c r="J140" s="531"/>
      <c r="K140" s="530"/>
      <c r="L140" s="528"/>
      <c r="M140" s="531"/>
      <c r="N140" s="530"/>
      <c r="O140" s="528"/>
      <c r="P140" s="528"/>
      <c r="Q140" s="492"/>
    </row>
    <row r="141" spans="1:17" ht="30" customHeight="1" thickBot="1">
      <c r="A141" s="361" t="s">
        <v>4</v>
      </c>
      <c r="B141" s="207"/>
      <c r="C141" s="362"/>
      <c r="D141" s="298">
        <f aca="true" t="shared" si="49" ref="D141:P141">D23+D38+D53+D68+D83+D98+D113+D128</f>
        <v>0</v>
      </c>
      <c r="E141" s="302">
        <f t="shared" si="49"/>
        <v>0</v>
      </c>
      <c r="F141" s="302">
        <f t="shared" si="49"/>
        <v>0</v>
      </c>
      <c r="G141" s="300">
        <f t="shared" si="49"/>
        <v>0</v>
      </c>
      <c r="H141" s="298">
        <f t="shared" si="49"/>
        <v>0</v>
      </c>
      <c r="I141" s="302">
        <f t="shared" si="49"/>
        <v>0</v>
      </c>
      <c r="J141" s="299">
        <f t="shared" si="49"/>
        <v>0</v>
      </c>
      <c r="K141" s="301">
        <f t="shared" si="49"/>
        <v>0</v>
      </c>
      <c r="L141" s="302">
        <f t="shared" si="49"/>
        <v>0</v>
      </c>
      <c r="M141" s="299">
        <f t="shared" si="49"/>
        <v>0</v>
      </c>
      <c r="N141" s="301">
        <f t="shared" si="49"/>
        <v>0</v>
      </c>
      <c r="O141" s="302">
        <f t="shared" si="49"/>
        <v>0</v>
      </c>
      <c r="P141" s="302">
        <f t="shared" si="49"/>
        <v>0</v>
      </c>
      <c r="Q141" s="523"/>
    </row>
    <row r="142" ht="15" customHeight="1" thickTop="1">
      <c r="P142" s="483"/>
    </row>
  </sheetData>
  <sheetProtection password="CA7F" sheet="1" objects="1" scenarios="1"/>
  <mergeCells count="2">
    <mergeCell ref="A1:Q1"/>
    <mergeCell ref="A3:Q3"/>
  </mergeCells>
  <printOptions horizontalCentered="1"/>
  <pageMargins left="0.1968503937007874" right="0.1968503937007874" top="0.3937007874015748" bottom="0.3937007874015748" header="0.31496062992125984" footer="0.31496062992125984"/>
  <pageSetup fitToHeight="2" horizontalDpi="300" verticalDpi="300" orientation="landscape" paperSize="9" scale="34" r:id="rId1"/>
  <rowBreaks count="1" manualBreakCount="1">
    <brk id="8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42"/>
  <sheetViews>
    <sheetView view="pageBreakPreview" zoomScale="60" zoomScaleNormal="60" workbookViewId="0" topLeftCell="I116">
      <selection activeCell="N129" sqref="N129:N139"/>
    </sheetView>
  </sheetViews>
  <sheetFormatPr defaultColWidth="9.140625" defaultRowHeight="12.75"/>
  <cols>
    <col min="1" max="1" width="58.7109375" style="473" customWidth="1"/>
    <col min="2" max="2" width="35.7109375" style="473" customWidth="1"/>
    <col min="3" max="3" width="1.7109375" style="473" customWidth="1"/>
    <col min="4" max="6" width="15.7109375" style="473" customWidth="1"/>
    <col min="7" max="7" width="15.7109375" style="483" customWidth="1"/>
    <col min="8" max="16" width="15.7109375" style="473" customWidth="1"/>
    <col min="17" max="17" width="1.7109375" style="473" customWidth="1"/>
    <col min="18" max="18" width="1.8515625" style="473" customWidth="1"/>
    <col min="19" max="16384" width="10.28125" style="473" customWidth="1"/>
  </cols>
  <sheetData>
    <row r="1" spans="1:17" ht="24.75">
      <c r="A1" s="1045" t="str">
        <f>'Schedule 1 '!A1</f>
        <v>VOTE:  21  DEFENCE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</row>
    <row r="2" spans="1:189" ht="18" customHeight="1">
      <c r="A2" s="477"/>
      <c r="B2" s="477"/>
      <c r="C2" s="477"/>
      <c r="D2" s="477"/>
      <c r="E2" s="477"/>
      <c r="F2" s="477"/>
      <c r="G2" s="525"/>
      <c r="H2" s="477"/>
      <c r="I2" s="477"/>
      <c r="J2" s="477"/>
      <c r="K2" s="477"/>
      <c r="L2" s="477"/>
      <c r="M2" s="477"/>
      <c r="N2" s="477"/>
      <c r="O2" s="477"/>
      <c r="P2" s="477"/>
      <c r="Q2" s="245" t="s">
        <v>144</v>
      </c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477"/>
      <c r="FM2" s="477"/>
      <c r="FN2" s="477"/>
      <c r="FO2" s="477"/>
      <c r="FP2" s="477"/>
      <c r="FQ2" s="477"/>
      <c r="FR2" s="477"/>
      <c r="FS2" s="477"/>
      <c r="FT2" s="477"/>
      <c r="FU2" s="477"/>
      <c r="FV2" s="477"/>
      <c r="FW2" s="477"/>
      <c r="FX2" s="477"/>
      <c r="FY2" s="477"/>
      <c r="FZ2" s="477"/>
      <c r="GA2" s="477"/>
      <c r="GB2" s="477"/>
      <c r="GC2" s="477"/>
      <c r="GD2" s="477"/>
      <c r="GE2" s="477"/>
      <c r="GF2" s="477"/>
      <c r="GG2" s="477"/>
    </row>
    <row r="3" spans="1:189" ht="21.75" customHeight="1">
      <c r="A3" s="1046" t="s">
        <v>143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  <c r="BO3" s="526"/>
      <c r="BP3" s="526"/>
      <c r="BQ3" s="526"/>
      <c r="BR3" s="526"/>
      <c r="BS3" s="526"/>
      <c r="BT3" s="526"/>
      <c r="BU3" s="526"/>
      <c r="BV3" s="526"/>
      <c r="BW3" s="526"/>
      <c r="BX3" s="526"/>
      <c r="BY3" s="526"/>
      <c r="BZ3" s="526"/>
      <c r="CA3" s="526"/>
      <c r="CB3" s="526"/>
      <c r="CC3" s="526"/>
      <c r="CD3" s="526"/>
      <c r="CE3" s="526"/>
      <c r="CF3" s="526"/>
      <c r="CG3" s="526"/>
      <c r="CH3" s="526"/>
      <c r="CI3" s="526"/>
      <c r="CJ3" s="526"/>
      <c r="CK3" s="526"/>
      <c r="CL3" s="526"/>
      <c r="CM3" s="526"/>
      <c r="CN3" s="526"/>
      <c r="CO3" s="526"/>
      <c r="CP3" s="526"/>
      <c r="CQ3" s="526"/>
      <c r="CR3" s="526"/>
      <c r="CS3" s="526"/>
      <c r="CT3" s="526"/>
      <c r="CU3" s="526"/>
      <c r="CV3" s="526"/>
      <c r="CW3" s="526"/>
      <c r="CX3" s="526"/>
      <c r="CY3" s="526"/>
      <c r="CZ3" s="526"/>
      <c r="DA3" s="526"/>
      <c r="DB3" s="526"/>
      <c r="DC3" s="526"/>
      <c r="DD3" s="526"/>
      <c r="DE3" s="526"/>
      <c r="DF3" s="526"/>
      <c r="DG3" s="526"/>
      <c r="DH3" s="526"/>
      <c r="DI3" s="526"/>
      <c r="DJ3" s="526"/>
      <c r="DK3" s="526"/>
      <c r="DL3" s="526"/>
      <c r="DM3" s="526"/>
      <c r="DN3" s="526"/>
      <c r="DO3" s="526"/>
      <c r="DP3" s="526"/>
      <c r="DQ3" s="526"/>
      <c r="DR3" s="526"/>
      <c r="DS3" s="526"/>
      <c r="DT3" s="526"/>
      <c r="DU3" s="526"/>
      <c r="DV3" s="526"/>
      <c r="DW3" s="526"/>
      <c r="DX3" s="526"/>
      <c r="DY3" s="526"/>
      <c r="DZ3" s="526"/>
      <c r="EA3" s="526"/>
      <c r="EB3" s="526"/>
      <c r="EC3" s="526"/>
      <c r="ED3" s="526"/>
      <c r="EE3" s="526"/>
      <c r="EF3" s="526"/>
      <c r="EG3" s="526"/>
      <c r="EH3" s="526"/>
      <c r="EI3" s="526"/>
      <c r="EJ3" s="526"/>
      <c r="EK3" s="526"/>
      <c r="EL3" s="526"/>
      <c r="EM3" s="526"/>
      <c r="EN3" s="526"/>
      <c r="EO3" s="526"/>
      <c r="EP3" s="526"/>
      <c r="EQ3" s="526"/>
      <c r="ER3" s="526"/>
      <c r="ES3" s="526"/>
      <c r="ET3" s="526"/>
      <c r="EU3" s="526"/>
      <c r="EV3" s="526"/>
      <c r="EW3" s="526"/>
      <c r="EX3" s="526"/>
      <c r="EY3" s="526"/>
      <c r="EZ3" s="526"/>
      <c r="FA3" s="526"/>
      <c r="FB3" s="526"/>
      <c r="FC3" s="526"/>
      <c r="FD3" s="526"/>
      <c r="FE3" s="526"/>
      <c r="FF3" s="526"/>
      <c r="FG3" s="526"/>
      <c r="FH3" s="526"/>
      <c r="FI3" s="526"/>
      <c r="FJ3" s="526"/>
      <c r="FK3" s="526"/>
      <c r="FL3" s="526"/>
      <c r="FM3" s="526"/>
      <c r="FN3" s="526"/>
      <c r="FO3" s="526"/>
      <c r="FP3" s="526"/>
      <c r="FQ3" s="526"/>
      <c r="FR3" s="526"/>
      <c r="FS3" s="526"/>
      <c r="FT3" s="526"/>
      <c r="FU3" s="526"/>
      <c r="FV3" s="526"/>
      <c r="FW3" s="526"/>
      <c r="FX3" s="526"/>
      <c r="FY3" s="526"/>
      <c r="FZ3" s="526"/>
      <c r="GA3" s="526"/>
      <c r="GB3" s="526"/>
      <c r="GC3" s="526"/>
      <c r="GD3" s="526"/>
      <c r="GE3" s="526"/>
      <c r="GF3" s="526"/>
      <c r="GG3" s="526"/>
    </row>
    <row r="4" spans="1:16" ht="18" customHeight="1" thickBot="1">
      <c r="A4" s="459"/>
      <c r="B4" s="459"/>
      <c r="C4" s="459"/>
      <c r="D4" s="483"/>
      <c r="E4" s="483"/>
      <c r="F4" s="483"/>
      <c r="H4" s="483"/>
      <c r="I4" s="483"/>
      <c r="J4" s="483"/>
      <c r="K4" s="483"/>
      <c r="L4" s="483"/>
      <c r="M4" s="483"/>
      <c r="N4" s="483"/>
      <c r="O4" s="483"/>
      <c r="P4" s="483"/>
    </row>
    <row r="5" spans="1:17" s="550" customFormat="1" ht="18" customHeight="1" thickTop="1">
      <c r="A5" s="305"/>
      <c r="B5" s="306"/>
      <c r="C5" s="307"/>
      <c r="D5" s="308"/>
      <c r="E5" s="308"/>
      <c r="F5" s="307"/>
      <c r="G5" s="309"/>
      <c r="H5" s="306"/>
      <c r="I5" s="306"/>
      <c r="J5" s="306"/>
      <c r="K5" s="306"/>
      <c r="L5" s="306"/>
      <c r="M5" s="306"/>
      <c r="N5" s="306"/>
      <c r="O5" s="306"/>
      <c r="P5" s="306"/>
      <c r="Q5" s="310"/>
    </row>
    <row r="6" spans="1:17" s="550" customFormat="1" ht="18" customHeight="1">
      <c r="A6" s="311"/>
      <c r="B6" s="312"/>
      <c r="C6" s="313"/>
      <c r="D6" s="314"/>
      <c r="E6" s="314"/>
      <c r="F6" s="315"/>
      <c r="G6" s="316"/>
      <c r="H6" s="317" t="s">
        <v>7</v>
      </c>
      <c r="I6" s="317"/>
      <c r="J6" s="317"/>
      <c r="K6" s="317"/>
      <c r="L6" s="317"/>
      <c r="M6" s="317"/>
      <c r="N6" s="317"/>
      <c r="O6" s="317"/>
      <c r="P6" s="317"/>
      <c r="Q6" s="318"/>
    </row>
    <row r="7" spans="1:17" s="550" customFormat="1" ht="18" customHeight="1" thickBot="1">
      <c r="A7" s="311"/>
      <c r="B7" s="312"/>
      <c r="C7" s="313"/>
      <c r="D7" s="314"/>
      <c r="E7" s="314"/>
      <c r="F7" s="315"/>
      <c r="G7" s="316"/>
      <c r="H7" s="319"/>
      <c r="I7" s="319"/>
      <c r="J7" s="319"/>
      <c r="K7" s="319"/>
      <c r="L7" s="319"/>
      <c r="M7" s="319"/>
      <c r="N7" s="319"/>
      <c r="O7" s="319"/>
      <c r="P7" s="319"/>
      <c r="Q7" s="318"/>
    </row>
    <row r="8" spans="1:17" s="550" customFormat="1" ht="18" customHeight="1">
      <c r="A8" s="320"/>
      <c r="B8" s="317" t="s">
        <v>81</v>
      </c>
      <c r="C8" s="313"/>
      <c r="D8" s="321" t="s">
        <v>105</v>
      </c>
      <c r="E8" s="322" t="s">
        <v>0</v>
      </c>
      <c r="F8" s="322" t="s">
        <v>1</v>
      </c>
      <c r="G8" s="323" t="s">
        <v>2</v>
      </c>
      <c r="H8" s="324"/>
      <c r="I8" s="324"/>
      <c r="J8" s="325"/>
      <c r="K8" s="326"/>
      <c r="L8" s="324"/>
      <c r="M8" s="325"/>
      <c r="N8" s="326"/>
      <c r="O8" s="324"/>
      <c r="P8" s="324"/>
      <c r="Q8" s="327"/>
    </row>
    <row r="9" spans="1:17" s="550" customFormat="1" ht="18" customHeight="1">
      <c r="A9" s="311"/>
      <c r="B9" s="312"/>
      <c r="C9" s="313"/>
      <c r="D9" s="34" t="s">
        <v>61</v>
      </c>
      <c r="E9" s="34" t="s">
        <v>61</v>
      </c>
      <c r="F9" s="35" t="s">
        <v>82</v>
      </c>
      <c r="G9" s="36" t="s">
        <v>7</v>
      </c>
      <c r="H9" s="328" t="s">
        <v>3</v>
      </c>
      <c r="I9" s="328"/>
      <c r="J9" s="329"/>
      <c r="K9" s="330" t="s">
        <v>15</v>
      </c>
      <c r="L9" s="328"/>
      <c r="M9" s="329"/>
      <c r="N9" s="330" t="s">
        <v>71</v>
      </c>
      <c r="O9" s="328"/>
      <c r="P9" s="317"/>
      <c r="Q9" s="331"/>
    </row>
    <row r="10" spans="1:17" s="550" customFormat="1" ht="18" customHeight="1" thickBot="1">
      <c r="A10" s="332"/>
      <c r="B10" s="319"/>
      <c r="C10" s="315"/>
      <c r="D10" s="34"/>
      <c r="E10" s="34"/>
      <c r="F10" s="46" t="s">
        <v>83</v>
      </c>
      <c r="G10" s="36" t="s">
        <v>13</v>
      </c>
      <c r="H10" s="333"/>
      <c r="I10" s="333"/>
      <c r="J10" s="334"/>
      <c r="K10" s="335"/>
      <c r="L10" s="333"/>
      <c r="M10" s="334"/>
      <c r="N10" s="335"/>
      <c r="O10" s="333"/>
      <c r="P10" s="333"/>
      <c r="Q10" s="334"/>
    </row>
    <row r="11" spans="1:17" s="550" customFormat="1" ht="18" customHeight="1">
      <c r="A11" s="332"/>
      <c r="B11" s="319"/>
      <c r="C11" s="315"/>
      <c r="D11" s="34"/>
      <c r="E11" s="34"/>
      <c r="F11" s="46" t="s">
        <v>62</v>
      </c>
      <c r="G11" s="36" t="s">
        <v>58</v>
      </c>
      <c r="H11" s="336"/>
      <c r="I11" s="337"/>
      <c r="J11" s="338"/>
      <c r="K11" s="339"/>
      <c r="L11" s="337"/>
      <c r="M11" s="338"/>
      <c r="N11" s="339"/>
      <c r="O11" s="337"/>
      <c r="P11" s="340"/>
      <c r="Q11" s="341"/>
    </row>
    <row r="12" spans="1:17" s="550" customFormat="1" ht="18" customHeight="1">
      <c r="A12" s="332"/>
      <c r="B12" s="319"/>
      <c r="C12" s="315"/>
      <c r="D12" s="34"/>
      <c r="E12" s="34"/>
      <c r="F12" s="46" t="s">
        <v>157</v>
      </c>
      <c r="G12" s="342"/>
      <c r="H12" s="37" t="s">
        <v>7</v>
      </c>
      <c r="I12" s="38" t="s">
        <v>8</v>
      </c>
      <c r="J12" s="38" t="s">
        <v>9</v>
      </c>
      <c r="K12" s="37" t="s">
        <v>7</v>
      </c>
      <c r="L12" s="38" t="s">
        <v>8</v>
      </c>
      <c r="M12" s="39" t="s">
        <v>9</v>
      </c>
      <c r="N12" s="37" t="s">
        <v>7</v>
      </c>
      <c r="O12" s="38" t="s">
        <v>8</v>
      </c>
      <c r="P12" s="46" t="s">
        <v>9</v>
      </c>
      <c r="Q12" s="343"/>
    </row>
    <row r="13" spans="1:17" s="550" customFormat="1" ht="18" customHeight="1">
      <c r="A13" s="332"/>
      <c r="B13" s="319"/>
      <c r="C13" s="315"/>
      <c r="D13" s="344"/>
      <c r="E13" s="344"/>
      <c r="F13" s="313"/>
      <c r="G13" s="342"/>
      <c r="H13" s="37" t="s">
        <v>13</v>
      </c>
      <c r="I13" s="38" t="s">
        <v>11</v>
      </c>
      <c r="J13" s="38" t="s">
        <v>12</v>
      </c>
      <c r="K13" s="37" t="s">
        <v>13</v>
      </c>
      <c r="L13" s="38" t="s">
        <v>11</v>
      </c>
      <c r="M13" s="39" t="s">
        <v>12</v>
      </c>
      <c r="N13" s="37" t="s">
        <v>13</v>
      </c>
      <c r="O13" s="38" t="s">
        <v>11</v>
      </c>
      <c r="P13" s="46" t="s">
        <v>12</v>
      </c>
      <c r="Q13" s="345"/>
    </row>
    <row r="14" spans="1:17" s="550" customFormat="1" ht="18" customHeight="1">
      <c r="A14" s="332"/>
      <c r="B14" s="319"/>
      <c r="C14" s="315"/>
      <c r="D14" s="346"/>
      <c r="E14" s="346"/>
      <c r="F14" s="347"/>
      <c r="G14" s="348"/>
      <c r="H14" s="49" t="s">
        <v>58</v>
      </c>
      <c r="I14" s="38" t="s">
        <v>13</v>
      </c>
      <c r="J14" s="38" t="s">
        <v>13</v>
      </c>
      <c r="K14" s="49" t="s">
        <v>58</v>
      </c>
      <c r="L14" s="38" t="s">
        <v>13</v>
      </c>
      <c r="M14" s="39" t="s">
        <v>13</v>
      </c>
      <c r="N14" s="37" t="s">
        <v>136</v>
      </c>
      <c r="O14" s="38" t="s">
        <v>13</v>
      </c>
      <c r="P14" s="46" t="s">
        <v>13</v>
      </c>
      <c r="Q14" s="349"/>
    </row>
    <row r="15" spans="1:17" s="550" customFormat="1" ht="18" customHeight="1">
      <c r="A15" s="332"/>
      <c r="B15" s="319"/>
      <c r="C15" s="315"/>
      <c r="D15" s="346"/>
      <c r="E15" s="346"/>
      <c r="F15" s="347"/>
      <c r="G15" s="348"/>
      <c r="H15" s="49"/>
      <c r="I15" s="38"/>
      <c r="J15" s="38"/>
      <c r="K15" s="49"/>
      <c r="L15" s="38"/>
      <c r="M15" s="39"/>
      <c r="N15" s="53" t="s">
        <v>63</v>
      </c>
      <c r="O15" s="38"/>
      <c r="P15" s="46"/>
      <c r="Q15" s="349"/>
    </row>
    <row r="16" spans="1:17" s="550" customFormat="1" ht="18" customHeight="1">
      <c r="A16" s="332"/>
      <c r="B16" s="319"/>
      <c r="C16" s="315"/>
      <c r="D16" s="346"/>
      <c r="E16" s="346"/>
      <c r="F16" s="347"/>
      <c r="G16" s="348"/>
      <c r="H16" s="344"/>
      <c r="I16" s="350"/>
      <c r="J16" s="351"/>
      <c r="K16" s="352"/>
      <c r="L16" s="350"/>
      <c r="M16" s="351"/>
      <c r="N16" s="311"/>
      <c r="O16" s="350"/>
      <c r="P16" s="313"/>
      <c r="Q16" s="349"/>
    </row>
    <row r="17" spans="1:17" s="551" customFormat="1" ht="18" customHeight="1" thickBot="1">
      <c r="A17" s="353">
        <v>-1</v>
      </c>
      <c r="B17" s="354">
        <f>+A17-1</f>
        <v>-2</v>
      </c>
      <c r="C17" s="355"/>
      <c r="D17" s="356">
        <f>B17-1</f>
        <v>-3</v>
      </c>
      <c r="E17" s="356">
        <f>+D17-1</f>
        <v>-4</v>
      </c>
      <c r="F17" s="357">
        <f aca="true" t="shared" si="0" ref="F17:P17">E17-1</f>
        <v>-5</v>
      </c>
      <c r="G17" s="358">
        <f t="shared" si="0"/>
        <v>-6</v>
      </c>
      <c r="H17" s="356">
        <f t="shared" si="0"/>
        <v>-7</v>
      </c>
      <c r="I17" s="65">
        <f t="shared" si="0"/>
        <v>-8</v>
      </c>
      <c r="J17" s="66">
        <f t="shared" si="0"/>
        <v>-9</v>
      </c>
      <c r="K17" s="64">
        <f t="shared" si="0"/>
        <v>-10</v>
      </c>
      <c r="L17" s="65">
        <f t="shared" si="0"/>
        <v>-11</v>
      </c>
      <c r="M17" s="66">
        <f t="shared" si="0"/>
        <v>-12</v>
      </c>
      <c r="N17" s="64">
        <f t="shared" si="0"/>
        <v>-13</v>
      </c>
      <c r="O17" s="65">
        <f t="shared" si="0"/>
        <v>-14</v>
      </c>
      <c r="P17" s="357">
        <f t="shared" si="0"/>
        <v>-15</v>
      </c>
      <c r="Q17" s="359"/>
    </row>
    <row r="18" spans="1:17" ht="18" customHeight="1">
      <c r="A18" s="253"/>
      <c r="B18" s="173"/>
      <c r="C18" s="251"/>
      <c r="D18" s="215" t="s">
        <v>6</v>
      </c>
      <c r="E18" s="215" t="s">
        <v>6</v>
      </c>
      <c r="F18" s="217" t="s">
        <v>6</v>
      </c>
      <c r="G18" s="360" t="s">
        <v>6</v>
      </c>
      <c r="H18" s="215" t="s">
        <v>6</v>
      </c>
      <c r="I18" s="196" t="s">
        <v>6</v>
      </c>
      <c r="J18" s="216" t="s">
        <v>6</v>
      </c>
      <c r="K18" s="195" t="s">
        <v>6</v>
      </c>
      <c r="L18" s="196" t="s">
        <v>6</v>
      </c>
      <c r="M18" s="216" t="s">
        <v>6</v>
      </c>
      <c r="N18" s="195" t="s">
        <v>6</v>
      </c>
      <c r="O18" s="196" t="s">
        <v>6</v>
      </c>
      <c r="P18" s="217" t="s">
        <v>6</v>
      </c>
      <c r="Q18" s="214"/>
    </row>
    <row r="19" spans="1:17" ht="18" customHeight="1">
      <c r="A19" s="253"/>
      <c r="B19" s="173"/>
      <c r="C19" s="251"/>
      <c r="D19" s="250"/>
      <c r="E19" s="251"/>
      <c r="F19" s="251"/>
      <c r="G19" s="252"/>
      <c r="H19" s="250"/>
      <c r="I19" s="251"/>
      <c r="J19" s="255"/>
      <c r="K19" s="253"/>
      <c r="L19" s="251"/>
      <c r="M19" s="255"/>
      <c r="N19" s="253"/>
      <c r="O19" s="251"/>
      <c r="P19" s="251"/>
      <c r="Q19" s="214"/>
    </row>
    <row r="20" spans="1:17" ht="18" customHeight="1">
      <c r="A20" s="253"/>
      <c r="B20" s="173"/>
      <c r="C20" s="251"/>
      <c r="D20" s="250"/>
      <c r="E20" s="251"/>
      <c r="F20" s="251"/>
      <c r="G20" s="252"/>
      <c r="H20" s="250"/>
      <c r="I20" s="251"/>
      <c r="J20" s="255"/>
      <c r="K20" s="253"/>
      <c r="L20" s="251"/>
      <c r="M20" s="255"/>
      <c r="N20" s="253"/>
      <c r="O20" s="251"/>
      <c r="P20" s="251"/>
      <c r="Q20" s="214"/>
    </row>
    <row r="21" spans="1:17" ht="18" customHeight="1">
      <c r="A21" s="474" t="s">
        <v>14</v>
      </c>
      <c r="B21" s="173"/>
      <c r="C21" s="528"/>
      <c r="D21" s="527"/>
      <c r="E21" s="528"/>
      <c r="F21" s="528"/>
      <c r="G21" s="529"/>
      <c r="H21" s="527"/>
      <c r="I21" s="528"/>
      <c r="J21" s="531"/>
      <c r="K21" s="530"/>
      <c r="L21" s="528"/>
      <c r="M21" s="531"/>
      <c r="N21" s="530"/>
      <c r="O21" s="528"/>
      <c r="P21" s="528"/>
      <c r="Q21" s="492"/>
    </row>
    <row r="22" spans="1:17" ht="18" customHeight="1">
      <c r="A22" s="552" t="s">
        <v>183</v>
      </c>
      <c r="B22" s="173"/>
      <c r="C22" s="528"/>
      <c r="D22" s="527"/>
      <c r="E22" s="528"/>
      <c r="F22" s="528"/>
      <c r="G22" s="529"/>
      <c r="H22" s="527"/>
      <c r="I22" s="528"/>
      <c r="J22" s="531"/>
      <c r="K22" s="530"/>
      <c r="L22" s="528"/>
      <c r="M22" s="531"/>
      <c r="N22" s="530"/>
      <c r="O22" s="528"/>
      <c r="P22" s="528"/>
      <c r="Q22" s="492"/>
    </row>
    <row r="23" spans="1:17" ht="18" customHeight="1">
      <c r="A23" s="552" t="s">
        <v>184</v>
      </c>
      <c r="B23" s="173"/>
      <c r="C23" s="528"/>
      <c r="D23" s="112">
        <f aca="true" t="shared" si="1" ref="D23:P23">SUM(D24:D34)</f>
        <v>0</v>
      </c>
      <c r="E23" s="113">
        <f t="shared" si="1"/>
        <v>0</v>
      </c>
      <c r="F23" s="113">
        <f t="shared" si="1"/>
        <v>0</v>
      </c>
      <c r="G23" s="114">
        <f t="shared" si="1"/>
        <v>0</v>
      </c>
      <c r="H23" s="112">
        <f t="shared" si="1"/>
        <v>0</v>
      </c>
      <c r="I23" s="113">
        <f t="shared" si="1"/>
        <v>0</v>
      </c>
      <c r="J23" s="117">
        <f t="shared" si="1"/>
        <v>0</v>
      </c>
      <c r="K23" s="115">
        <f t="shared" si="1"/>
        <v>0</v>
      </c>
      <c r="L23" s="113">
        <f t="shared" si="1"/>
        <v>0</v>
      </c>
      <c r="M23" s="117">
        <f t="shared" si="1"/>
        <v>0</v>
      </c>
      <c r="N23" s="115">
        <f t="shared" si="1"/>
        <v>0</v>
      </c>
      <c r="O23" s="113">
        <f t="shared" si="1"/>
        <v>0</v>
      </c>
      <c r="P23" s="113">
        <f t="shared" si="1"/>
        <v>0</v>
      </c>
      <c r="Q23" s="476"/>
    </row>
    <row r="24" spans="1:17" ht="18" customHeight="1">
      <c r="A24" s="530"/>
      <c r="B24" s="173" t="s">
        <v>145</v>
      </c>
      <c r="C24" s="528"/>
      <c r="D24" s="532">
        <v>0</v>
      </c>
      <c r="E24" s="532">
        <v>0</v>
      </c>
      <c r="F24" s="533">
        <v>0</v>
      </c>
      <c r="G24" s="534">
        <v>0</v>
      </c>
      <c r="H24" s="535">
        <v>0</v>
      </c>
      <c r="I24" s="536">
        <v>0</v>
      </c>
      <c r="J24" s="270">
        <f aca="true" t="shared" si="2" ref="J24:J32">+H24+I24</f>
        <v>0</v>
      </c>
      <c r="K24" s="532">
        <v>0</v>
      </c>
      <c r="L24" s="536">
        <v>0</v>
      </c>
      <c r="M24" s="270">
        <f aca="true" t="shared" si="3" ref="M24:M32">+K24+L24</f>
        <v>0</v>
      </c>
      <c r="N24" s="271">
        <f>ROUND(+K24*1.06,0)</f>
        <v>0</v>
      </c>
      <c r="O24" s="536">
        <v>0</v>
      </c>
      <c r="P24" s="272">
        <f aca="true" t="shared" si="4" ref="P24:P32">+N24+O24</f>
        <v>0</v>
      </c>
      <c r="Q24" s="492"/>
    </row>
    <row r="25" spans="1:17" ht="18" customHeight="1">
      <c r="A25" s="530"/>
      <c r="B25" s="173" t="s">
        <v>146</v>
      </c>
      <c r="C25" s="528"/>
      <c r="D25" s="544">
        <v>0</v>
      </c>
      <c r="E25" s="544">
        <v>0</v>
      </c>
      <c r="F25" s="531">
        <v>0</v>
      </c>
      <c r="G25" s="529">
        <v>0</v>
      </c>
      <c r="H25" s="530">
        <v>0</v>
      </c>
      <c r="I25" s="528">
        <v>0</v>
      </c>
      <c r="J25" s="255">
        <f t="shared" si="2"/>
        <v>0</v>
      </c>
      <c r="K25" s="544">
        <v>0</v>
      </c>
      <c r="L25" s="528">
        <v>0</v>
      </c>
      <c r="M25" s="255">
        <f t="shared" si="3"/>
        <v>0</v>
      </c>
      <c r="N25" s="253">
        <f aca="true" t="shared" si="5" ref="N25:N32">ROUND(+K25*1.06,0)</f>
        <v>0</v>
      </c>
      <c r="O25" s="528">
        <v>0</v>
      </c>
      <c r="P25" s="280">
        <f t="shared" si="4"/>
        <v>0</v>
      </c>
      <c r="Q25" s="492"/>
    </row>
    <row r="26" spans="1:17" ht="18" customHeight="1">
      <c r="A26" s="530"/>
      <c r="B26" s="173" t="s">
        <v>147</v>
      </c>
      <c r="C26" s="528"/>
      <c r="D26" s="544">
        <v>0</v>
      </c>
      <c r="E26" s="544">
        <v>0</v>
      </c>
      <c r="F26" s="531">
        <v>0</v>
      </c>
      <c r="G26" s="529">
        <v>0</v>
      </c>
      <c r="H26" s="530">
        <v>0</v>
      </c>
      <c r="I26" s="528">
        <v>0</v>
      </c>
      <c r="J26" s="255">
        <f t="shared" si="2"/>
        <v>0</v>
      </c>
      <c r="K26" s="544">
        <v>0</v>
      </c>
      <c r="L26" s="528">
        <v>0</v>
      </c>
      <c r="M26" s="255">
        <f t="shared" si="3"/>
        <v>0</v>
      </c>
      <c r="N26" s="253">
        <f t="shared" si="5"/>
        <v>0</v>
      </c>
      <c r="O26" s="528">
        <v>0</v>
      </c>
      <c r="P26" s="280">
        <f t="shared" si="4"/>
        <v>0</v>
      </c>
      <c r="Q26" s="492"/>
    </row>
    <row r="27" spans="1:17" ht="18" customHeight="1">
      <c r="A27" s="530"/>
      <c r="B27" s="173" t="s">
        <v>148</v>
      </c>
      <c r="C27" s="528"/>
      <c r="D27" s="544">
        <v>0</v>
      </c>
      <c r="E27" s="544">
        <v>0</v>
      </c>
      <c r="F27" s="531">
        <v>0</v>
      </c>
      <c r="G27" s="529">
        <v>0</v>
      </c>
      <c r="H27" s="530">
        <v>0</v>
      </c>
      <c r="I27" s="528">
        <v>0</v>
      </c>
      <c r="J27" s="255">
        <f t="shared" si="2"/>
        <v>0</v>
      </c>
      <c r="K27" s="544">
        <v>0</v>
      </c>
      <c r="L27" s="528">
        <v>0</v>
      </c>
      <c r="M27" s="255">
        <f t="shared" si="3"/>
        <v>0</v>
      </c>
      <c r="N27" s="253">
        <f t="shared" si="5"/>
        <v>0</v>
      </c>
      <c r="O27" s="528">
        <v>0</v>
      </c>
      <c r="P27" s="280">
        <f t="shared" si="4"/>
        <v>0</v>
      </c>
      <c r="Q27" s="492"/>
    </row>
    <row r="28" spans="1:17" ht="18" customHeight="1">
      <c r="A28" s="530"/>
      <c r="B28" s="173" t="s">
        <v>149</v>
      </c>
      <c r="C28" s="528"/>
      <c r="D28" s="544">
        <v>0</v>
      </c>
      <c r="E28" s="544">
        <v>0</v>
      </c>
      <c r="F28" s="531">
        <v>0</v>
      </c>
      <c r="G28" s="529">
        <v>0</v>
      </c>
      <c r="H28" s="530">
        <v>0</v>
      </c>
      <c r="I28" s="528">
        <v>0</v>
      </c>
      <c r="J28" s="255">
        <f t="shared" si="2"/>
        <v>0</v>
      </c>
      <c r="K28" s="544">
        <v>0</v>
      </c>
      <c r="L28" s="528">
        <v>0</v>
      </c>
      <c r="M28" s="255">
        <f t="shared" si="3"/>
        <v>0</v>
      </c>
      <c r="N28" s="253">
        <f t="shared" si="5"/>
        <v>0</v>
      </c>
      <c r="O28" s="528">
        <v>0</v>
      </c>
      <c r="P28" s="280">
        <f t="shared" si="4"/>
        <v>0</v>
      </c>
      <c r="Q28" s="492"/>
    </row>
    <row r="29" spans="1:17" ht="18" customHeight="1">
      <c r="A29" s="530"/>
      <c r="B29" s="173" t="s">
        <v>150</v>
      </c>
      <c r="C29" s="528"/>
      <c r="D29" s="544">
        <v>0</v>
      </c>
      <c r="E29" s="544">
        <v>0</v>
      </c>
      <c r="F29" s="531">
        <v>0</v>
      </c>
      <c r="G29" s="529">
        <v>0</v>
      </c>
      <c r="H29" s="530">
        <v>0</v>
      </c>
      <c r="I29" s="528">
        <v>0</v>
      </c>
      <c r="J29" s="255">
        <f t="shared" si="2"/>
        <v>0</v>
      </c>
      <c r="K29" s="544">
        <v>0</v>
      </c>
      <c r="L29" s="528">
        <v>0</v>
      </c>
      <c r="M29" s="255">
        <f t="shared" si="3"/>
        <v>0</v>
      </c>
      <c r="N29" s="253">
        <f t="shared" si="5"/>
        <v>0</v>
      </c>
      <c r="O29" s="528">
        <v>0</v>
      </c>
      <c r="P29" s="280">
        <f t="shared" si="4"/>
        <v>0</v>
      </c>
      <c r="Q29" s="492"/>
    </row>
    <row r="30" spans="1:17" ht="18" customHeight="1">
      <c r="A30" s="530"/>
      <c r="B30" s="173" t="s">
        <v>151</v>
      </c>
      <c r="C30" s="528"/>
      <c r="D30" s="544">
        <v>0</v>
      </c>
      <c r="E30" s="544">
        <v>0</v>
      </c>
      <c r="F30" s="531">
        <v>0</v>
      </c>
      <c r="G30" s="529">
        <v>0</v>
      </c>
      <c r="H30" s="530">
        <v>0</v>
      </c>
      <c r="I30" s="528">
        <v>0</v>
      </c>
      <c r="J30" s="255">
        <f t="shared" si="2"/>
        <v>0</v>
      </c>
      <c r="K30" s="544">
        <v>0</v>
      </c>
      <c r="L30" s="528">
        <v>0</v>
      </c>
      <c r="M30" s="255">
        <f t="shared" si="3"/>
        <v>0</v>
      </c>
      <c r="N30" s="253">
        <f t="shared" si="5"/>
        <v>0</v>
      </c>
      <c r="O30" s="528">
        <v>0</v>
      </c>
      <c r="P30" s="280">
        <f t="shared" si="4"/>
        <v>0</v>
      </c>
      <c r="Q30" s="492"/>
    </row>
    <row r="31" spans="1:17" ht="18" customHeight="1">
      <c r="A31" s="530"/>
      <c r="B31" s="173" t="s">
        <v>152</v>
      </c>
      <c r="C31" s="528"/>
      <c r="D31" s="544">
        <v>0</v>
      </c>
      <c r="E31" s="544">
        <v>0</v>
      </c>
      <c r="F31" s="531">
        <v>0</v>
      </c>
      <c r="G31" s="529">
        <v>0</v>
      </c>
      <c r="H31" s="530">
        <v>0</v>
      </c>
      <c r="I31" s="528">
        <v>0</v>
      </c>
      <c r="J31" s="255">
        <f t="shared" si="2"/>
        <v>0</v>
      </c>
      <c r="K31" s="544">
        <v>0</v>
      </c>
      <c r="L31" s="528">
        <v>0</v>
      </c>
      <c r="M31" s="255">
        <f t="shared" si="3"/>
        <v>0</v>
      </c>
      <c r="N31" s="253">
        <f t="shared" si="5"/>
        <v>0</v>
      </c>
      <c r="O31" s="528">
        <v>0</v>
      </c>
      <c r="P31" s="280">
        <f t="shared" si="4"/>
        <v>0</v>
      </c>
      <c r="Q31" s="492"/>
    </row>
    <row r="32" spans="1:17" ht="18" customHeight="1">
      <c r="A32" s="530"/>
      <c r="B32" s="173" t="s">
        <v>153</v>
      </c>
      <c r="C32" s="528"/>
      <c r="D32" s="544">
        <v>0</v>
      </c>
      <c r="E32" s="544">
        <v>0</v>
      </c>
      <c r="F32" s="531">
        <v>0</v>
      </c>
      <c r="G32" s="529">
        <v>0</v>
      </c>
      <c r="H32" s="530">
        <v>0</v>
      </c>
      <c r="I32" s="528">
        <v>0</v>
      </c>
      <c r="J32" s="255">
        <f t="shared" si="2"/>
        <v>0</v>
      </c>
      <c r="K32" s="544">
        <v>0</v>
      </c>
      <c r="L32" s="528">
        <v>0</v>
      </c>
      <c r="M32" s="255">
        <f t="shared" si="3"/>
        <v>0</v>
      </c>
      <c r="N32" s="253">
        <f t="shared" si="5"/>
        <v>0</v>
      </c>
      <c r="O32" s="528">
        <v>0</v>
      </c>
      <c r="P32" s="280">
        <f t="shared" si="4"/>
        <v>0</v>
      </c>
      <c r="Q32" s="492"/>
    </row>
    <row r="33" spans="1:17" ht="18" customHeight="1">
      <c r="A33" s="530"/>
      <c r="B33" s="173"/>
      <c r="C33" s="528"/>
      <c r="D33" s="544"/>
      <c r="E33" s="544"/>
      <c r="F33" s="531"/>
      <c r="G33" s="529"/>
      <c r="H33" s="530"/>
      <c r="I33" s="528"/>
      <c r="J33" s="255"/>
      <c r="K33" s="544"/>
      <c r="L33" s="528"/>
      <c r="M33" s="255"/>
      <c r="N33" s="253"/>
      <c r="O33" s="528"/>
      <c r="P33" s="280"/>
      <c r="Q33" s="492"/>
    </row>
    <row r="34" spans="1:17" ht="18" customHeight="1">
      <c r="A34" s="530"/>
      <c r="B34" s="173" t="s">
        <v>93</v>
      </c>
      <c r="C34" s="528"/>
      <c r="D34" s="537">
        <v>0</v>
      </c>
      <c r="E34" s="537">
        <v>0</v>
      </c>
      <c r="F34" s="538">
        <v>0</v>
      </c>
      <c r="G34" s="539">
        <v>0</v>
      </c>
      <c r="H34" s="540">
        <v>0</v>
      </c>
      <c r="I34" s="541">
        <v>0</v>
      </c>
      <c r="J34" s="274">
        <f>+H34+I34</f>
        <v>0</v>
      </c>
      <c r="K34" s="537">
        <v>0</v>
      </c>
      <c r="L34" s="541">
        <v>0</v>
      </c>
      <c r="M34" s="274">
        <f>+K34+L34</f>
        <v>0</v>
      </c>
      <c r="N34" s="275">
        <f>ROUND(+K34*1.06,0)</f>
        <v>0</v>
      </c>
      <c r="O34" s="541">
        <v>0</v>
      </c>
      <c r="P34" s="278">
        <f>+N34+O34</f>
        <v>0</v>
      </c>
      <c r="Q34" s="492"/>
    </row>
    <row r="35" spans="1:17" ht="18" customHeight="1">
      <c r="A35" s="530"/>
      <c r="B35" s="173"/>
      <c r="C35" s="528"/>
      <c r="D35" s="527"/>
      <c r="E35" s="527"/>
      <c r="F35" s="531"/>
      <c r="G35" s="529"/>
      <c r="H35" s="530"/>
      <c r="I35" s="528"/>
      <c r="J35" s="531"/>
      <c r="K35" s="527"/>
      <c r="L35" s="528"/>
      <c r="M35" s="531"/>
      <c r="N35" s="530"/>
      <c r="O35" s="528"/>
      <c r="P35" s="528"/>
      <c r="Q35" s="492"/>
    </row>
    <row r="36" spans="1:17" ht="18" customHeight="1">
      <c r="A36" s="474" t="s">
        <v>14</v>
      </c>
      <c r="B36" s="173"/>
      <c r="C36" s="528"/>
      <c r="D36" s="527"/>
      <c r="E36" s="527"/>
      <c r="F36" s="531"/>
      <c r="G36" s="529"/>
      <c r="H36" s="530"/>
      <c r="I36" s="528"/>
      <c r="J36" s="531"/>
      <c r="K36" s="527"/>
      <c r="L36" s="528"/>
      <c r="M36" s="531"/>
      <c r="N36" s="530"/>
      <c r="O36" s="528"/>
      <c r="P36" s="528"/>
      <c r="Q36" s="492"/>
    </row>
    <row r="37" spans="1:17" ht="18" customHeight="1">
      <c r="A37" s="552" t="s">
        <v>183</v>
      </c>
      <c r="B37" s="173"/>
      <c r="C37" s="528"/>
      <c r="D37" s="527"/>
      <c r="E37" s="527"/>
      <c r="F37" s="531"/>
      <c r="G37" s="529"/>
      <c r="H37" s="530"/>
      <c r="I37" s="528"/>
      <c r="J37" s="531"/>
      <c r="K37" s="527"/>
      <c r="L37" s="528"/>
      <c r="M37" s="531"/>
      <c r="N37" s="530"/>
      <c r="O37" s="528"/>
      <c r="P37" s="528"/>
      <c r="Q37" s="492"/>
    </row>
    <row r="38" spans="1:17" ht="18" customHeight="1">
      <c r="A38" s="552" t="s">
        <v>184</v>
      </c>
      <c r="B38" s="173"/>
      <c r="C38" s="528"/>
      <c r="D38" s="112">
        <f aca="true" t="shared" si="6" ref="D38:P38">SUM(D39:D49)</f>
        <v>0</v>
      </c>
      <c r="E38" s="112">
        <f>SUM(E39:E49)</f>
        <v>0</v>
      </c>
      <c r="F38" s="117">
        <f>SUM(F39:F49)</f>
        <v>0</v>
      </c>
      <c r="G38" s="114">
        <f>SUM(G39:G49)</f>
        <v>0</v>
      </c>
      <c r="H38" s="115">
        <f>SUM(H39:H49)</f>
        <v>0</v>
      </c>
      <c r="I38" s="113">
        <f t="shared" si="6"/>
        <v>0</v>
      </c>
      <c r="J38" s="117">
        <f t="shared" si="6"/>
        <v>0</v>
      </c>
      <c r="K38" s="112">
        <f>SUM(K39:K49)</f>
        <v>0</v>
      </c>
      <c r="L38" s="113">
        <f t="shared" si="6"/>
        <v>0</v>
      </c>
      <c r="M38" s="117">
        <f t="shared" si="6"/>
        <v>0</v>
      </c>
      <c r="N38" s="115">
        <f t="shared" si="6"/>
        <v>0</v>
      </c>
      <c r="O38" s="113">
        <f t="shared" si="6"/>
        <v>0</v>
      </c>
      <c r="P38" s="113">
        <f t="shared" si="6"/>
        <v>0</v>
      </c>
      <c r="Q38" s="214"/>
    </row>
    <row r="39" spans="1:17" ht="18" customHeight="1">
      <c r="A39" s="530"/>
      <c r="B39" s="173" t="s">
        <v>145</v>
      </c>
      <c r="C39" s="528"/>
      <c r="D39" s="532">
        <v>0</v>
      </c>
      <c r="E39" s="532">
        <v>0</v>
      </c>
      <c r="F39" s="533">
        <v>0</v>
      </c>
      <c r="G39" s="534">
        <v>0</v>
      </c>
      <c r="H39" s="535">
        <v>0</v>
      </c>
      <c r="I39" s="536">
        <v>0</v>
      </c>
      <c r="J39" s="270">
        <f aca="true" t="shared" si="7" ref="J39:J47">+H39+I39</f>
        <v>0</v>
      </c>
      <c r="K39" s="532">
        <v>0</v>
      </c>
      <c r="L39" s="536">
        <v>0</v>
      </c>
      <c r="M39" s="270">
        <f aca="true" t="shared" si="8" ref="M39:M47">+K39+L39</f>
        <v>0</v>
      </c>
      <c r="N39" s="271">
        <f>ROUND(+K39*1.06,0)</f>
        <v>0</v>
      </c>
      <c r="O39" s="536">
        <v>0</v>
      </c>
      <c r="P39" s="272">
        <f aca="true" t="shared" si="9" ref="P39:P47">+N39+O39</f>
        <v>0</v>
      </c>
      <c r="Q39" s="492"/>
    </row>
    <row r="40" spans="1:17" ht="18" customHeight="1">
      <c r="A40" s="530"/>
      <c r="B40" s="173" t="s">
        <v>146</v>
      </c>
      <c r="C40" s="528"/>
      <c r="D40" s="544">
        <v>0</v>
      </c>
      <c r="E40" s="544">
        <v>0</v>
      </c>
      <c r="F40" s="531">
        <v>0</v>
      </c>
      <c r="G40" s="529">
        <v>0</v>
      </c>
      <c r="H40" s="530">
        <v>0</v>
      </c>
      <c r="I40" s="528">
        <v>0</v>
      </c>
      <c r="J40" s="255">
        <f t="shared" si="7"/>
        <v>0</v>
      </c>
      <c r="K40" s="544">
        <v>0</v>
      </c>
      <c r="L40" s="528">
        <v>0</v>
      </c>
      <c r="M40" s="255">
        <f t="shared" si="8"/>
        <v>0</v>
      </c>
      <c r="N40" s="253">
        <f aca="true" t="shared" si="10" ref="N40:N47">ROUND(+K40*1.06,0)</f>
        <v>0</v>
      </c>
      <c r="O40" s="528">
        <v>0</v>
      </c>
      <c r="P40" s="280">
        <f t="shared" si="9"/>
        <v>0</v>
      </c>
      <c r="Q40" s="492"/>
    </row>
    <row r="41" spans="1:17" ht="18" customHeight="1">
      <c r="A41" s="530"/>
      <c r="B41" s="173" t="s">
        <v>147</v>
      </c>
      <c r="C41" s="528"/>
      <c r="D41" s="544">
        <v>0</v>
      </c>
      <c r="E41" s="544">
        <v>0</v>
      </c>
      <c r="F41" s="531">
        <v>0</v>
      </c>
      <c r="G41" s="529">
        <v>0</v>
      </c>
      <c r="H41" s="530">
        <v>0</v>
      </c>
      <c r="I41" s="528">
        <v>0</v>
      </c>
      <c r="J41" s="255">
        <f t="shared" si="7"/>
        <v>0</v>
      </c>
      <c r="K41" s="544">
        <v>0</v>
      </c>
      <c r="L41" s="528">
        <v>0</v>
      </c>
      <c r="M41" s="255">
        <f t="shared" si="8"/>
        <v>0</v>
      </c>
      <c r="N41" s="253">
        <f t="shared" si="10"/>
        <v>0</v>
      </c>
      <c r="O41" s="528">
        <v>0</v>
      </c>
      <c r="P41" s="280">
        <f t="shared" si="9"/>
        <v>0</v>
      </c>
      <c r="Q41" s="492"/>
    </row>
    <row r="42" spans="1:17" ht="18" customHeight="1">
      <c r="A42" s="530"/>
      <c r="B42" s="173" t="s">
        <v>148</v>
      </c>
      <c r="C42" s="528"/>
      <c r="D42" s="544">
        <v>0</v>
      </c>
      <c r="E42" s="544">
        <v>0</v>
      </c>
      <c r="F42" s="531">
        <v>0</v>
      </c>
      <c r="G42" s="529">
        <v>0</v>
      </c>
      <c r="H42" s="530">
        <v>0</v>
      </c>
      <c r="I42" s="528">
        <v>0</v>
      </c>
      <c r="J42" s="255">
        <f t="shared" si="7"/>
        <v>0</v>
      </c>
      <c r="K42" s="544">
        <v>0</v>
      </c>
      <c r="L42" s="528">
        <v>0</v>
      </c>
      <c r="M42" s="255">
        <f t="shared" si="8"/>
        <v>0</v>
      </c>
      <c r="N42" s="253">
        <f t="shared" si="10"/>
        <v>0</v>
      </c>
      <c r="O42" s="528">
        <v>0</v>
      </c>
      <c r="P42" s="280">
        <f t="shared" si="9"/>
        <v>0</v>
      </c>
      <c r="Q42" s="492"/>
    </row>
    <row r="43" spans="1:17" ht="18" customHeight="1">
      <c r="A43" s="530"/>
      <c r="B43" s="173" t="s">
        <v>149</v>
      </c>
      <c r="C43" s="528"/>
      <c r="D43" s="544">
        <v>0</v>
      </c>
      <c r="E43" s="544">
        <v>0</v>
      </c>
      <c r="F43" s="531">
        <v>0</v>
      </c>
      <c r="G43" s="529">
        <v>0</v>
      </c>
      <c r="H43" s="530">
        <v>0</v>
      </c>
      <c r="I43" s="528">
        <v>0</v>
      </c>
      <c r="J43" s="255">
        <f t="shared" si="7"/>
        <v>0</v>
      </c>
      <c r="K43" s="544">
        <v>0</v>
      </c>
      <c r="L43" s="528">
        <v>0</v>
      </c>
      <c r="M43" s="255">
        <f t="shared" si="8"/>
        <v>0</v>
      </c>
      <c r="N43" s="253">
        <f t="shared" si="10"/>
        <v>0</v>
      </c>
      <c r="O43" s="528">
        <v>0</v>
      </c>
      <c r="P43" s="280">
        <f t="shared" si="9"/>
        <v>0</v>
      </c>
      <c r="Q43" s="492"/>
    </row>
    <row r="44" spans="1:17" ht="18" customHeight="1">
      <c r="A44" s="530"/>
      <c r="B44" s="173" t="s">
        <v>150</v>
      </c>
      <c r="C44" s="528"/>
      <c r="D44" s="544">
        <v>0</v>
      </c>
      <c r="E44" s="544">
        <v>0</v>
      </c>
      <c r="F44" s="531">
        <v>0</v>
      </c>
      <c r="G44" s="529">
        <v>0</v>
      </c>
      <c r="H44" s="530">
        <v>0</v>
      </c>
      <c r="I44" s="528">
        <v>0</v>
      </c>
      <c r="J44" s="255">
        <f t="shared" si="7"/>
        <v>0</v>
      </c>
      <c r="K44" s="544">
        <v>0</v>
      </c>
      <c r="L44" s="528">
        <v>0</v>
      </c>
      <c r="M44" s="255">
        <f t="shared" si="8"/>
        <v>0</v>
      </c>
      <c r="N44" s="253">
        <f t="shared" si="10"/>
        <v>0</v>
      </c>
      <c r="O44" s="528">
        <v>0</v>
      </c>
      <c r="P44" s="280">
        <f t="shared" si="9"/>
        <v>0</v>
      </c>
      <c r="Q44" s="492"/>
    </row>
    <row r="45" spans="1:17" ht="18" customHeight="1">
      <c r="A45" s="530"/>
      <c r="B45" s="173" t="s">
        <v>151</v>
      </c>
      <c r="C45" s="528"/>
      <c r="D45" s="544">
        <v>0</v>
      </c>
      <c r="E45" s="544">
        <v>0</v>
      </c>
      <c r="F45" s="531">
        <v>0</v>
      </c>
      <c r="G45" s="529">
        <v>0</v>
      </c>
      <c r="H45" s="530">
        <v>0</v>
      </c>
      <c r="I45" s="528">
        <v>0</v>
      </c>
      <c r="J45" s="255">
        <f t="shared" si="7"/>
        <v>0</v>
      </c>
      <c r="K45" s="544">
        <v>0</v>
      </c>
      <c r="L45" s="528">
        <v>0</v>
      </c>
      <c r="M45" s="255">
        <f t="shared" si="8"/>
        <v>0</v>
      </c>
      <c r="N45" s="253">
        <f t="shared" si="10"/>
        <v>0</v>
      </c>
      <c r="O45" s="528">
        <v>0</v>
      </c>
      <c r="P45" s="280">
        <f t="shared" si="9"/>
        <v>0</v>
      </c>
      <c r="Q45" s="492"/>
    </row>
    <row r="46" spans="1:17" ht="18" customHeight="1">
      <c r="A46" s="530"/>
      <c r="B46" s="173" t="s">
        <v>152</v>
      </c>
      <c r="C46" s="528"/>
      <c r="D46" s="544">
        <v>0</v>
      </c>
      <c r="E46" s="544">
        <v>0</v>
      </c>
      <c r="F46" s="531">
        <v>0</v>
      </c>
      <c r="G46" s="529">
        <v>0</v>
      </c>
      <c r="H46" s="530">
        <v>0</v>
      </c>
      <c r="I46" s="528">
        <v>0</v>
      </c>
      <c r="J46" s="255">
        <f t="shared" si="7"/>
        <v>0</v>
      </c>
      <c r="K46" s="544">
        <v>0</v>
      </c>
      <c r="L46" s="528">
        <v>0</v>
      </c>
      <c r="M46" s="255">
        <f t="shared" si="8"/>
        <v>0</v>
      </c>
      <c r="N46" s="253">
        <f t="shared" si="10"/>
        <v>0</v>
      </c>
      <c r="O46" s="528">
        <v>0</v>
      </c>
      <c r="P46" s="280">
        <f t="shared" si="9"/>
        <v>0</v>
      </c>
      <c r="Q46" s="492"/>
    </row>
    <row r="47" spans="1:17" ht="18" customHeight="1">
      <c r="A47" s="530"/>
      <c r="B47" s="173" t="s">
        <v>153</v>
      </c>
      <c r="C47" s="528"/>
      <c r="D47" s="544">
        <v>0</v>
      </c>
      <c r="E47" s="544">
        <v>0</v>
      </c>
      <c r="F47" s="531">
        <v>0</v>
      </c>
      <c r="G47" s="529">
        <v>0</v>
      </c>
      <c r="H47" s="530">
        <v>0</v>
      </c>
      <c r="I47" s="528">
        <v>0</v>
      </c>
      <c r="J47" s="255">
        <f t="shared" si="7"/>
        <v>0</v>
      </c>
      <c r="K47" s="544">
        <v>0</v>
      </c>
      <c r="L47" s="528">
        <v>0</v>
      </c>
      <c r="M47" s="255">
        <f t="shared" si="8"/>
        <v>0</v>
      </c>
      <c r="N47" s="253">
        <f t="shared" si="10"/>
        <v>0</v>
      </c>
      <c r="O47" s="528">
        <v>0</v>
      </c>
      <c r="P47" s="280">
        <f t="shared" si="9"/>
        <v>0</v>
      </c>
      <c r="Q47" s="492"/>
    </row>
    <row r="48" spans="1:17" ht="18" customHeight="1">
      <c r="A48" s="530"/>
      <c r="B48" s="173"/>
      <c r="C48" s="528"/>
      <c r="D48" s="544"/>
      <c r="E48" s="544"/>
      <c r="F48" s="531"/>
      <c r="G48" s="529"/>
      <c r="H48" s="530"/>
      <c r="I48" s="528"/>
      <c r="J48" s="255"/>
      <c r="K48" s="544"/>
      <c r="L48" s="528"/>
      <c r="M48" s="255"/>
      <c r="N48" s="253"/>
      <c r="O48" s="528"/>
      <c r="P48" s="280"/>
      <c r="Q48" s="492"/>
    </row>
    <row r="49" spans="1:17" ht="18" customHeight="1">
      <c r="A49" s="530"/>
      <c r="B49" s="173" t="s">
        <v>93</v>
      </c>
      <c r="C49" s="528"/>
      <c r="D49" s="537">
        <v>0</v>
      </c>
      <c r="E49" s="537">
        <v>0</v>
      </c>
      <c r="F49" s="538">
        <v>0</v>
      </c>
      <c r="G49" s="539">
        <v>0</v>
      </c>
      <c r="H49" s="540">
        <v>0</v>
      </c>
      <c r="I49" s="541">
        <v>0</v>
      </c>
      <c r="J49" s="274">
        <f>+H49+I49</f>
        <v>0</v>
      </c>
      <c r="K49" s="537">
        <v>0</v>
      </c>
      <c r="L49" s="541">
        <v>0</v>
      </c>
      <c r="M49" s="274">
        <f>+K49+L49</f>
        <v>0</v>
      </c>
      <c r="N49" s="275">
        <f>ROUND(+K49*1.06,0)</f>
        <v>0</v>
      </c>
      <c r="O49" s="541">
        <v>0</v>
      </c>
      <c r="P49" s="278">
        <f>+N49+O49</f>
        <v>0</v>
      </c>
      <c r="Q49" s="492"/>
    </row>
    <row r="50" spans="1:17" ht="18" customHeight="1">
      <c r="A50" s="530"/>
      <c r="B50" s="173"/>
      <c r="C50" s="528"/>
      <c r="D50" s="527"/>
      <c r="E50" s="527"/>
      <c r="F50" s="531"/>
      <c r="G50" s="529"/>
      <c r="H50" s="530"/>
      <c r="I50" s="528"/>
      <c r="J50" s="531"/>
      <c r="K50" s="527"/>
      <c r="L50" s="528"/>
      <c r="M50" s="531"/>
      <c r="N50" s="530"/>
      <c r="O50" s="528"/>
      <c r="P50" s="528"/>
      <c r="Q50" s="492"/>
    </row>
    <row r="51" spans="1:17" ht="18" customHeight="1">
      <c r="A51" s="474" t="s">
        <v>14</v>
      </c>
      <c r="B51" s="173"/>
      <c r="C51" s="528"/>
      <c r="D51" s="527"/>
      <c r="E51" s="527"/>
      <c r="F51" s="531"/>
      <c r="G51" s="529"/>
      <c r="H51" s="530"/>
      <c r="I51" s="528"/>
      <c r="J51" s="531"/>
      <c r="K51" s="527"/>
      <c r="L51" s="528"/>
      <c r="M51" s="531"/>
      <c r="N51" s="530"/>
      <c r="O51" s="528"/>
      <c r="P51" s="528"/>
      <c r="Q51" s="492"/>
    </row>
    <row r="52" spans="1:17" ht="18" customHeight="1">
      <c r="A52" s="810" t="s">
        <v>183</v>
      </c>
      <c r="B52" s="173"/>
      <c r="C52" s="528"/>
      <c r="D52" s="527"/>
      <c r="E52" s="527"/>
      <c r="F52" s="531"/>
      <c r="G52" s="529"/>
      <c r="H52" s="530"/>
      <c r="I52" s="528"/>
      <c r="J52" s="531"/>
      <c r="K52" s="527"/>
      <c r="L52" s="528"/>
      <c r="M52" s="531"/>
      <c r="N52" s="530"/>
      <c r="O52" s="528"/>
      <c r="P52" s="528"/>
      <c r="Q52" s="492"/>
    </row>
    <row r="53" spans="1:17" ht="18" customHeight="1">
      <c r="A53" s="552" t="s">
        <v>184</v>
      </c>
      <c r="B53" s="173"/>
      <c r="C53" s="528"/>
      <c r="D53" s="112">
        <f aca="true" t="shared" si="11" ref="D53:P53">SUM(D54:D64)</f>
        <v>0</v>
      </c>
      <c r="E53" s="112">
        <f>SUM(E54:E64)</f>
        <v>0</v>
      </c>
      <c r="F53" s="117">
        <f>SUM(F54:F64)</f>
        <v>0</v>
      </c>
      <c r="G53" s="114">
        <f>SUM(G54:G64)</f>
        <v>0</v>
      </c>
      <c r="H53" s="115">
        <f>SUM(H54:H64)</f>
        <v>0</v>
      </c>
      <c r="I53" s="113">
        <f t="shared" si="11"/>
        <v>0</v>
      </c>
      <c r="J53" s="117">
        <f t="shared" si="11"/>
        <v>0</v>
      </c>
      <c r="K53" s="112">
        <f>SUM(K54:K64)</f>
        <v>0</v>
      </c>
      <c r="L53" s="113">
        <f t="shared" si="11"/>
        <v>0</v>
      </c>
      <c r="M53" s="117">
        <f t="shared" si="11"/>
        <v>0</v>
      </c>
      <c r="N53" s="115">
        <f t="shared" si="11"/>
        <v>0</v>
      </c>
      <c r="O53" s="113">
        <f t="shared" si="11"/>
        <v>0</v>
      </c>
      <c r="P53" s="113">
        <f t="shared" si="11"/>
        <v>0</v>
      </c>
      <c r="Q53" s="492"/>
    </row>
    <row r="54" spans="1:17" ht="18" customHeight="1">
      <c r="A54" s="530"/>
      <c r="B54" s="173" t="s">
        <v>145</v>
      </c>
      <c r="C54" s="528"/>
      <c r="D54" s="532">
        <v>0</v>
      </c>
      <c r="E54" s="532">
        <v>0</v>
      </c>
      <c r="F54" s="533">
        <v>0</v>
      </c>
      <c r="G54" s="534">
        <v>0</v>
      </c>
      <c r="H54" s="535">
        <v>0</v>
      </c>
      <c r="I54" s="536">
        <v>0</v>
      </c>
      <c r="J54" s="270">
        <f aca="true" t="shared" si="12" ref="J54:J62">+H54+I54</f>
        <v>0</v>
      </c>
      <c r="K54" s="532">
        <v>0</v>
      </c>
      <c r="L54" s="536">
        <v>0</v>
      </c>
      <c r="M54" s="270">
        <f aca="true" t="shared" si="13" ref="M54:M62">+K54+L54</f>
        <v>0</v>
      </c>
      <c r="N54" s="271">
        <f>ROUND(+K54*1.06,0)</f>
        <v>0</v>
      </c>
      <c r="O54" s="536">
        <v>0</v>
      </c>
      <c r="P54" s="272">
        <f aca="true" t="shared" si="14" ref="P54:P62">+N54+O54</f>
        <v>0</v>
      </c>
      <c r="Q54" s="492"/>
    </row>
    <row r="55" spans="1:17" ht="18" customHeight="1">
      <c r="A55" s="530"/>
      <c r="B55" s="173" t="s">
        <v>146</v>
      </c>
      <c r="C55" s="528"/>
      <c r="D55" s="544">
        <v>0</v>
      </c>
      <c r="E55" s="544">
        <v>0</v>
      </c>
      <c r="F55" s="531">
        <v>0</v>
      </c>
      <c r="G55" s="529">
        <v>0</v>
      </c>
      <c r="H55" s="530">
        <v>0</v>
      </c>
      <c r="I55" s="528">
        <v>0</v>
      </c>
      <c r="J55" s="255">
        <f t="shared" si="12"/>
        <v>0</v>
      </c>
      <c r="K55" s="544">
        <v>0</v>
      </c>
      <c r="L55" s="528">
        <v>0</v>
      </c>
      <c r="M55" s="255">
        <f t="shared" si="13"/>
        <v>0</v>
      </c>
      <c r="N55" s="253">
        <f aca="true" t="shared" si="15" ref="N55:N62">ROUND(+K55*1.06,0)</f>
        <v>0</v>
      </c>
      <c r="O55" s="528">
        <v>0</v>
      </c>
      <c r="P55" s="280">
        <f t="shared" si="14"/>
        <v>0</v>
      </c>
      <c r="Q55" s="492"/>
    </row>
    <row r="56" spans="1:17" ht="18" customHeight="1">
      <c r="A56" s="530"/>
      <c r="B56" s="173" t="s">
        <v>147</v>
      </c>
      <c r="C56" s="528"/>
      <c r="D56" s="544">
        <v>0</v>
      </c>
      <c r="E56" s="544">
        <v>0</v>
      </c>
      <c r="F56" s="531">
        <v>0</v>
      </c>
      <c r="G56" s="529">
        <v>0</v>
      </c>
      <c r="H56" s="530">
        <v>0</v>
      </c>
      <c r="I56" s="528">
        <v>0</v>
      </c>
      <c r="J56" s="255">
        <f t="shared" si="12"/>
        <v>0</v>
      </c>
      <c r="K56" s="544">
        <v>0</v>
      </c>
      <c r="L56" s="528">
        <v>0</v>
      </c>
      <c r="M56" s="255">
        <f t="shared" si="13"/>
        <v>0</v>
      </c>
      <c r="N56" s="253">
        <f t="shared" si="15"/>
        <v>0</v>
      </c>
      <c r="O56" s="528">
        <v>0</v>
      </c>
      <c r="P56" s="280">
        <f t="shared" si="14"/>
        <v>0</v>
      </c>
      <c r="Q56" s="492"/>
    </row>
    <row r="57" spans="1:17" ht="18" customHeight="1">
      <c r="A57" s="530"/>
      <c r="B57" s="173" t="s">
        <v>148</v>
      </c>
      <c r="C57" s="528"/>
      <c r="D57" s="544">
        <v>0</v>
      </c>
      <c r="E57" s="544">
        <v>0</v>
      </c>
      <c r="F57" s="531">
        <v>0</v>
      </c>
      <c r="G57" s="529">
        <v>0</v>
      </c>
      <c r="H57" s="530">
        <v>0</v>
      </c>
      <c r="I57" s="528">
        <v>0</v>
      </c>
      <c r="J57" s="255">
        <f t="shared" si="12"/>
        <v>0</v>
      </c>
      <c r="K57" s="544">
        <v>0</v>
      </c>
      <c r="L57" s="528">
        <v>0</v>
      </c>
      <c r="M57" s="255">
        <f t="shared" si="13"/>
        <v>0</v>
      </c>
      <c r="N57" s="253">
        <f t="shared" si="15"/>
        <v>0</v>
      </c>
      <c r="O57" s="528">
        <v>0</v>
      </c>
      <c r="P57" s="280">
        <f t="shared" si="14"/>
        <v>0</v>
      </c>
      <c r="Q57" s="492"/>
    </row>
    <row r="58" spans="1:17" ht="18" customHeight="1">
      <c r="A58" s="530"/>
      <c r="B58" s="173" t="s">
        <v>149</v>
      </c>
      <c r="C58" s="528"/>
      <c r="D58" s="544">
        <v>0</v>
      </c>
      <c r="E58" s="544">
        <v>0</v>
      </c>
      <c r="F58" s="531">
        <v>0</v>
      </c>
      <c r="G58" s="529">
        <v>0</v>
      </c>
      <c r="H58" s="530">
        <v>0</v>
      </c>
      <c r="I58" s="528">
        <v>0</v>
      </c>
      <c r="J58" s="255">
        <f t="shared" si="12"/>
        <v>0</v>
      </c>
      <c r="K58" s="544">
        <v>0</v>
      </c>
      <c r="L58" s="528">
        <v>0</v>
      </c>
      <c r="M58" s="255">
        <f t="shared" si="13"/>
        <v>0</v>
      </c>
      <c r="N58" s="253">
        <f t="shared" si="15"/>
        <v>0</v>
      </c>
      <c r="O58" s="528">
        <v>0</v>
      </c>
      <c r="P58" s="280">
        <f t="shared" si="14"/>
        <v>0</v>
      </c>
      <c r="Q58" s="492"/>
    </row>
    <row r="59" spans="1:17" ht="18" customHeight="1">
      <c r="A59" s="530"/>
      <c r="B59" s="173" t="s">
        <v>150</v>
      </c>
      <c r="C59" s="528"/>
      <c r="D59" s="544">
        <v>0</v>
      </c>
      <c r="E59" s="544">
        <v>0</v>
      </c>
      <c r="F59" s="531">
        <v>0</v>
      </c>
      <c r="G59" s="529">
        <v>0</v>
      </c>
      <c r="H59" s="530">
        <v>0</v>
      </c>
      <c r="I59" s="528">
        <v>0</v>
      </c>
      <c r="J59" s="255">
        <f t="shared" si="12"/>
        <v>0</v>
      </c>
      <c r="K59" s="544">
        <v>0</v>
      </c>
      <c r="L59" s="528">
        <v>0</v>
      </c>
      <c r="M59" s="255">
        <f t="shared" si="13"/>
        <v>0</v>
      </c>
      <c r="N59" s="253">
        <f t="shared" si="15"/>
        <v>0</v>
      </c>
      <c r="O59" s="528">
        <v>0</v>
      </c>
      <c r="P59" s="280">
        <f t="shared" si="14"/>
        <v>0</v>
      </c>
      <c r="Q59" s="492"/>
    </row>
    <row r="60" spans="1:17" ht="18" customHeight="1">
      <c r="A60" s="530"/>
      <c r="B60" s="173" t="s">
        <v>151</v>
      </c>
      <c r="C60" s="528"/>
      <c r="D60" s="544">
        <v>0</v>
      </c>
      <c r="E60" s="544">
        <v>0</v>
      </c>
      <c r="F60" s="531">
        <v>0</v>
      </c>
      <c r="G60" s="529">
        <v>0</v>
      </c>
      <c r="H60" s="530">
        <v>0</v>
      </c>
      <c r="I60" s="528">
        <v>0</v>
      </c>
      <c r="J60" s="255">
        <f t="shared" si="12"/>
        <v>0</v>
      </c>
      <c r="K60" s="544">
        <v>0</v>
      </c>
      <c r="L60" s="528">
        <v>0</v>
      </c>
      <c r="M60" s="255">
        <f t="shared" si="13"/>
        <v>0</v>
      </c>
      <c r="N60" s="253">
        <f t="shared" si="15"/>
        <v>0</v>
      </c>
      <c r="O60" s="528">
        <v>0</v>
      </c>
      <c r="P60" s="280">
        <f t="shared" si="14"/>
        <v>0</v>
      </c>
      <c r="Q60" s="492"/>
    </row>
    <row r="61" spans="1:17" ht="18" customHeight="1">
      <c r="A61" s="530"/>
      <c r="B61" s="173" t="s">
        <v>152</v>
      </c>
      <c r="C61" s="528"/>
      <c r="D61" s="544">
        <v>0</v>
      </c>
      <c r="E61" s="544">
        <v>0</v>
      </c>
      <c r="F61" s="531">
        <v>0</v>
      </c>
      <c r="G61" s="529">
        <v>0</v>
      </c>
      <c r="H61" s="530">
        <v>0</v>
      </c>
      <c r="I61" s="528">
        <v>0</v>
      </c>
      <c r="J61" s="255">
        <f t="shared" si="12"/>
        <v>0</v>
      </c>
      <c r="K61" s="544">
        <v>0</v>
      </c>
      <c r="L61" s="528">
        <v>0</v>
      </c>
      <c r="M61" s="255">
        <f t="shared" si="13"/>
        <v>0</v>
      </c>
      <c r="N61" s="253">
        <f t="shared" si="15"/>
        <v>0</v>
      </c>
      <c r="O61" s="528">
        <v>0</v>
      </c>
      <c r="P61" s="280">
        <f t="shared" si="14"/>
        <v>0</v>
      </c>
      <c r="Q61" s="492"/>
    </row>
    <row r="62" spans="1:17" ht="18" customHeight="1">
      <c r="A62" s="530"/>
      <c r="B62" s="173" t="s">
        <v>153</v>
      </c>
      <c r="C62" s="528"/>
      <c r="D62" s="544">
        <v>0</v>
      </c>
      <c r="E62" s="544">
        <v>0</v>
      </c>
      <c r="F62" s="531">
        <v>0</v>
      </c>
      <c r="G62" s="529">
        <v>0</v>
      </c>
      <c r="H62" s="530">
        <v>0</v>
      </c>
      <c r="I62" s="528">
        <v>0</v>
      </c>
      <c r="J62" s="255">
        <f t="shared" si="12"/>
        <v>0</v>
      </c>
      <c r="K62" s="544">
        <v>0</v>
      </c>
      <c r="L62" s="528">
        <v>0</v>
      </c>
      <c r="M62" s="255">
        <f t="shared" si="13"/>
        <v>0</v>
      </c>
      <c r="N62" s="253">
        <f t="shared" si="15"/>
        <v>0</v>
      </c>
      <c r="O62" s="528">
        <v>0</v>
      </c>
      <c r="P62" s="280">
        <f t="shared" si="14"/>
        <v>0</v>
      </c>
      <c r="Q62" s="492"/>
    </row>
    <row r="63" spans="1:17" ht="18" customHeight="1">
      <c r="A63" s="530"/>
      <c r="B63" s="173"/>
      <c r="C63" s="528"/>
      <c r="D63" s="544"/>
      <c r="E63" s="544"/>
      <c r="F63" s="531"/>
      <c r="G63" s="529"/>
      <c r="H63" s="530"/>
      <c r="I63" s="528"/>
      <c r="J63" s="255"/>
      <c r="K63" s="544"/>
      <c r="L63" s="528"/>
      <c r="M63" s="255"/>
      <c r="N63" s="253"/>
      <c r="O63" s="528"/>
      <c r="P63" s="280"/>
      <c r="Q63" s="492"/>
    </row>
    <row r="64" spans="1:17" ht="18" customHeight="1">
      <c r="A64" s="530"/>
      <c r="B64" s="173" t="s">
        <v>93</v>
      </c>
      <c r="C64" s="528"/>
      <c r="D64" s="537">
        <v>0</v>
      </c>
      <c r="E64" s="537">
        <v>0</v>
      </c>
      <c r="F64" s="538">
        <v>0</v>
      </c>
      <c r="G64" s="539">
        <v>0</v>
      </c>
      <c r="H64" s="540">
        <v>0</v>
      </c>
      <c r="I64" s="541">
        <v>0</v>
      </c>
      <c r="J64" s="274">
        <f>+H64+I64</f>
        <v>0</v>
      </c>
      <c r="K64" s="537">
        <v>0</v>
      </c>
      <c r="L64" s="541">
        <v>0</v>
      </c>
      <c r="M64" s="274">
        <f>+K64+L64</f>
        <v>0</v>
      </c>
      <c r="N64" s="275">
        <f>ROUND(+K64*1.06,0)</f>
        <v>0</v>
      </c>
      <c r="O64" s="541">
        <v>0</v>
      </c>
      <c r="P64" s="278">
        <f>+N64+O64</f>
        <v>0</v>
      </c>
      <c r="Q64" s="492"/>
    </row>
    <row r="65" spans="1:17" ht="18" customHeight="1">
      <c r="A65" s="530"/>
      <c r="B65" s="173"/>
      <c r="C65" s="528"/>
      <c r="D65" s="527"/>
      <c r="E65" s="527"/>
      <c r="F65" s="531"/>
      <c r="G65" s="529"/>
      <c r="H65" s="530"/>
      <c r="I65" s="528"/>
      <c r="J65" s="531"/>
      <c r="K65" s="527"/>
      <c r="L65" s="528"/>
      <c r="M65" s="531"/>
      <c r="N65" s="530"/>
      <c r="O65" s="528"/>
      <c r="P65" s="528"/>
      <c r="Q65" s="492"/>
    </row>
    <row r="66" spans="1:17" ht="18" customHeight="1">
      <c r="A66" s="474" t="s">
        <v>14</v>
      </c>
      <c r="B66" s="173"/>
      <c r="C66" s="528"/>
      <c r="D66" s="527"/>
      <c r="E66" s="527"/>
      <c r="F66" s="531"/>
      <c r="G66" s="529"/>
      <c r="H66" s="530"/>
      <c r="I66" s="528"/>
      <c r="J66" s="531"/>
      <c r="K66" s="527"/>
      <c r="L66" s="528"/>
      <c r="M66" s="531"/>
      <c r="N66" s="530"/>
      <c r="O66" s="528"/>
      <c r="P66" s="528"/>
      <c r="Q66" s="492"/>
    </row>
    <row r="67" spans="1:17" ht="18" customHeight="1">
      <c r="A67" s="810" t="s">
        <v>183</v>
      </c>
      <c r="B67" s="173"/>
      <c r="C67" s="528"/>
      <c r="D67" s="527"/>
      <c r="E67" s="527"/>
      <c r="F67" s="531"/>
      <c r="G67" s="529"/>
      <c r="H67" s="530"/>
      <c r="I67" s="528"/>
      <c r="J67" s="531"/>
      <c r="K67" s="527"/>
      <c r="L67" s="528"/>
      <c r="M67" s="531"/>
      <c r="N67" s="530"/>
      <c r="O67" s="528"/>
      <c r="P67" s="528"/>
      <c r="Q67" s="492"/>
    </row>
    <row r="68" spans="1:17" ht="18" customHeight="1">
      <c r="A68" s="552" t="s">
        <v>184</v>
      </c>
      <c r="B68" s="173"/>
      <c r="C68" s="528"/>
      <c r="D68" s="112">
        <f aca="true" t="shared" si="16" ref="D68:P68">SUM(D69:D79)</f>
        <v>0</v>
      </c>
      <c r="E68" s="112">
        <f>SUM(E69:E79)</f>
        <v>0</v>
      </c>
      <c r="F68" s="117">
        <f>SUM(F69:F79)</f>
        <v>0</v>
      </c>
      <c r="G68" s="114">
        <f>SUM(G69:G79)</f>
        <v>0</v>
      </c>
      <c r="H68" s="115">
        <f>SUM(H69:H79)</f>
        <v>0</v>
      </c>
      <c r="I68" s="113">
        <f t="shared" si="16"/>
        <v>0</v>
      </c>
      <c r="J68" s="117">
        <f t="shared" si="16"/>
        <v>0</v>
      </c>
      <c r="K68" s="112">
        <f>SUM(K69:K79)</f>
        <v>0</v>
      </c>
      <c r="L68" s="113">
        <f t="shared" si="16"/>
        <v>0</v>
      </c>
      <c r="M68" s="117">
        <f t="shared" si="16"/>
        <v>0</v>
      </c>
      <c r="N68" s="115">
        <f t="shared" si="16"/>
        <v>0</v>
      </c>
      <c r="O68" s="113">
        <f t="shared" si="16"/>
        <v>0</v>
      </c>
      <c r="P68" s="113">
        <f t="shared" si="16"/>
        <v>0</v>
      </c>
      <c r="Q68" s="492"/>
    </row>
    <row r="69" spans="1:17" ht="18" customHeight="1">
      <c r="A69" s="530"/>
      <c r="B69" s="173" t="s">
        <v>145</v>
      </c>
      <c r="C69" s="528"/>
      <c r="D69" s="532">
        <v>0</v>
      </c>
      <c r="E69" s="532">
        <v>0</v>
      </c>
      <c r="F69" s="533">
        <v>0</v>
      </c>
      <c r="G69" s="534">
        <v>0</v>
      </c>
      <c r="H69" s="535">
        <v>0</v>
      </c>
      <c r="I69" s="536">
        <v>0</v>
      </c>
      <c r="J69" s="270">
        <f aca="true" t="shared" si="17" ref="J69:J77">+H69+I69</f>
        <v>0</v>
      </c>
      <c r="K69" s="532">
        <v>0</v>
      </c>
      <c r="L69" s="536">
        <v>0</v>
      </c>
      <c r="M69" s="270">
        <f aca="true" t="shared" si="18" ref="M69:M77">+K69+L69</f>
        <v>0</v>
      </c>
      <c r="N69" s="271">
        <f>ROUND(+K69*1.06,0)</f>
        <v>0</v>
      </c>
      <c r="O69" s="536">
        <v>0</v>
      </c>
      <c r="P69" s="272">
        <f aca="true" t="shared" si="19" ref="P69:P77">+N69+O69</f>
        <v>0</v>
      </c>
      <c r="Q69" s="492"/>
    </row>
    <row r="70" spans="1:17" ht="18" customHeight="1">
      <c r="A70" s="530"/>
      <c r="B70" s="173" t="s">
        <v>146</v>
      </c>
      <c r="C70" s="528"/>
      <c r="D70" s="544">
        <v>0</v>
      </c>
      <c r="E70" s="544">
        <v>0</v>
      </c>
      <c r="F70" s="531">
        <v>0</v>
      </c>
      <c r="G70" s="529">
        <v>0</v>
      </c>
      <c r="H70" s="530">
        <v>0</v>
      </c>
      <c r="I70" s="528">
        <v>0</v>
      </c>
      <c r="J70" s="255">
        <f t="shared" si="17"/>
        <v>0</v>
      </c>
      <c r="K70" s="544">
        <v>0</v>
      </c>
      <c r="L70" s="528">
        <v>0</v>
      </c>
      <c r="M70" s="255">
        <f t="shared" si="18"/>
        <v>0</v>
      </c>
      <c r="N70" s="253">
        <f aca="true" t="shared" si="20" ref="N70:N77">ROUND(+K70*1.06,0)</f>
        <v>0</v>
      </c>
      <c r="O70" s="528">
        <v>0</v>
      </c>
      <c r="P70" s="280">
        <f t="shared" si="19"/>
        <v>0</v>
      </c>
      <c r="Q70" s="492"/>
    </row>
    <row r="71" spans="1:17" ht="18" customHeight="1">
      <c r="A71" s="530"/>
      <c r="B71" s="173" t="s">
        <v>147</v>
      </c>
      <c r="C71" s="528"/>
      <c r="D71" s="544">
        <v>0</v>
      </c>
      <c r="E71" s="544">
        <v>0</v>
      </c>
      <c r="F71" s="531">
        <v>0</v>
      </c>
      <c r="G71" s="529">
        <v>0</v>
      </c>
      <c r="H71" s="530">
        <v>0</v>
      </c>
      <c r="I71" s="528">
        <v>0</v>
      </c>
      <c r="J71" s="255">
        <f t="shared" si="17"/>
        <v>0</v>
      </c>
      <c r="K71" s="544">
        <v>0</v>
      </c>
      <c r="L71" s="528">
        <v>0</v>
      </c>
      <c r="M71" s="255">
        <f t="shared" si="18"/>
        <v>0</v>
      </c>
      <c r="N71" s="253">
        <f t="shared" si="20"/>
        <v>0</v>
      </c>
      <c r="O71" s="528">
        <v>0</v>
      </c>
      <c r="P71" s="280">
        <f t="shared" si="19"/>
        <v>0</v>
      </c>
      <c r="Q71" s="492"/>
    </row>
    <row r="72" spans="1:17" ht="18" customHeight="1">
      <c r="A72" s="530"/>
      <c r="B72" s="173" t="s">
        <v>148</v>
      </c>
      <c r="C72" s="528"/>
      <c r="D72" s="544">
        <v>0</v>
      </c>
      <c r="E72" s="544">
        <v>0</v>
      </c>
      <c r="F72" s="531">
        <v>0</v>
      </c>
      <c r="G72" s="529">
        <v>0</v>
      </c>
      <c r="H72" s="530">
        <v>0</v>
      </c>
      <c r="I72" s="528">
        <v>0</v>
      </c>
      <c r="J72" s="255">
        <f t="shared" si="17"/>
        <v>0</v>
      </c>
      <c r="K72" s="544">
        <v>0</v>
      </c>
      <c r="L72" s="528">
        <v>0</v>
      </c>
      <c r="M72" s="255">
        <f t="shared" si="18"/>
        <v>0</v>
      </c>
      <c r="N72" s="253">
        <f t="shared" si="20"/>
        <v>0</v>
      </c>
      <c r="O72" s="528">
        <v>0</v>
      </c>
      <c r="P72" s="280">
        <f t="shared" si="19"/>
        <v>0</v>
      </c>
      <c r="Q72" s="492"/>
    </row>
    <row r="73" spans="1:17" ht="18" customHeight="1">
      <c r="A73" s="530"/>
      <c r="B73" s="173" t="s">
        <v>149</v>
      </c>
      <c r="C73" s="528"/>
      <c r="D73" s="544">
        <v>0</v>
      </c>
      <c r="E73" s="544">
        <v>0</v>
      </c>
      <c r="F73" s="531">
        <v>0</v>
      </c>
      <c r="G73" s="529">
        <v>0</v>
      </c>
      <c r="H73" s="530">
        <v>0</v>
      </c>
      <c r="I73" s="528">
        <v>0</v>
      </c>
      <c r="J73" s="255">
        <f t="shared" si="17"/>
        <v>0</v>
      </c>
      <c r="K73" s="544">
        <v>0</v>
      </c>
      <c r="L73" s="528">
        <v>0</v>
      </c>
      <c r="M73" s="255">
        <f t="shared" si="18"/>
        <v>0</v>
      </c>
      <c r="N73" s="253">
        <f t="shared" si="20"/>
        <v>0</v>
      </c>
      <c r="O73" s="528">
        <v>0</v>
      </c>
      <c r="P73" s="280">
        <f t="shared" si="19"/>
        <v>0</v>
      </c>
      <c r="Q73" s="492"/>
    </row>
    <row r="74" spans="1:17" ht="18" customHeight="1">
      <c r="A74" s="530"/>
      <c r="B74" s="173" t="s">
        <v>150</v>
      </c>
      <c r="C74" s="528"/>
      <c r="D74" s="544">
        <v>0</v>
      </c>
      <c r="E74" s="544">
        <v>0</v>
      </c>
      <c r="F74" s="531">
        <v>0</v>
      </c>
      <c r="G74" s="529">
        <v>0</v>
      </c>
      <c r="H74" s="530">
        <v>0</v>
      </c>
      <c r="I74" s="528">
        <v>0</v>
      </c>
      <c r="J74" s="255">
        <f t="shared" si="17"/>
        <v>0</v>
      </c>
      <c r="K74" s="544">
        <v>0</v>
      </c>
      <c r="L74" s="528">
        <v>0</v>
      </c>
      <c r="M74" s="255">
        <f t="shared" si="18"/>
        <v>0</v>
      </c>
      <c r="N74" s="253">
        <f t="shared" si="20"/>
        <v>0</v>
      </c>
      <c r="O74" s="528">
        <v>0</v>
      </c>
      <c r="P74" s="280">
        <f t="shared" si="19"/>
        <v>0</v>
      </c>
      <c r="Q74" s="492"/>
    </row>
    <row r="75" spans="1:17" ht="18" customHeight="1">
      <c r="A75" s="530"/>
      <c r="B75" s="173" t="s">
        <v>151</v>
      </c>
      <c r="C75" s="528"/>
      <c r="D75" s="544">
        <v>0</v>
      </c>
      <c r="E75" s="544">
        <v>0</v>
      </c>
      <c r="F75" s="531">
        <v>0</v>
      </c>
      <c r="G75" s="529">
        <v>0</v>
      </c>
      <c r="H75" s="530">
        <v>0</v>
      </c>
      <c r="I75" s="528">
        <v>0</v>
      </c>
      <c r="J75" s="255">
        <f t="shared" si="17"/>
        <v>0</v>
      </c>
      <c r="K75" s="544">
        <v>0</v>
      </c>
      <c r="L75" s="528">
        <v>0</v>
      </c>
      <c r="M75" s="255">
        <f t="shared" si="18"/>
        <v>0</v>
      </c>
      <c r="N75" s="253">
        <f t="shared" si="20"/>
        <v>0</v>
      </c>
      <c r="O75" s="528">
        <v>0</v>
      </c>
      <c r="P75" s="280">
        <f t="shared" si="19"/>
        <v>0</v>
      </c>
      <c r="Q75" s="492"/>
    </row>
    <row r="76" spans="1:17" ht="18" customHeight="1">
      <c r="A76" s="530"/>
      <c r="B76" s="173" t="s">
        <v>152</v>
      </c>
      <c r="C76" s="528"/>
      <c r="D76" s="544">
        <v>0</v>
      </c>
      <c r="E76" s="544">
        <v>0</v>
      </c>
      <c r="F76" s="531">
        <v>0</v>
      </c>
      <c r="G76" s="529">
        <v>0</v>
      </c>
      <c r="H76" s="530">
        <v>0</v>
      </c>
      <c r="I76" s="528">
        <v>0</v>
      </c>
      <c r="J76" s="255">
        <f t="shared" si="17"/>
        <v>0</v>
      </c>
      <c r="K76" s="544">
        <v>0</v>
      </c>
      <c r="L76" s="528">
        <v>0</v>
      </c>
      <c r="M76" s="255">
        <f t="shared" si="18"/>
        <v>0</v>
      </c>
      <c r="N76" s="253">
        <f t="shared" si="20"/>
        <v>0</v>
      </c>
      <c r="O76" s="528">
        <v>0</v>
      </c>
      <c r="P76" s="280">
        <f t="shared" si="19"/>
        <v>0</v>
      </c>
      <c r="Q76" s="492"/>
    </row>
    <row r="77" spans="1:17" ht="18" customHeight="1">
      <c r="A77" s="530"/>
      <c r="B77" s="173" t="s">
        <v>153</v>
      </c>
      <c r="C77" s="528"/>
      <c r="D77" s="544">
        <v>0</v>
      </c>
      <c r="E77" s="544">
        <v>0</v>
      </c>
      <c r="F77" s="531">
        <v>0</v>
      </c>
      <c r="G77" s="529">
        <v>0</v>
      </c>
      <c r="H77" s="530">
        <v>0</v>
      </c>
      <c r="I77" s="528">
        <v>0</v>
      </c>
      <c r="J77" s="255">
        <f t="shared" si="17"/>
        <v>0</v>
      </c>
      <c r="K77" s="544">
        <v>0</v>
      </c>
      <c r="L77" s="528">
        <v>0</v>
      </c>
      <c r="M77" s="255">
        <f t="shared" si="18"/>
        <v>0</v>
      </c>
      <c r="N77" s="253">
        <f t="shared" si="20"/>
        <v>0</v>
      </c>
      <c r="O77" s="528">
        <v>0</v>
      </c>
      <c r="P77" s="280">
        <f t="shared" si="19"/>
        <v>0</v>
      </c>
      <c r="Q77" s="492"/>
    </row>
    <row r="78" spans="1:17" ht="18" customHeight="1">
      <c r="A78" s="530"/>
      <c r="B78" s="173"/>
      <c r="C78" s="528"/>
      <c r="D78" s="544"/>
      <c r="E78" s="544"/>
      <c r="F78" s="531"/>
      <c r="G78" s="529"/>
      <c r="H78" s="530"/>
      <c r="I78" s="528"/>
      <c r="J78" s="255"/>
      <c r="K78" s="544"/>
      <c r="L78" s="528"/>
      <c r="M78" s="255"/>
      <c r="N78" s="253"/>
      <c r="O78" s="528"/>
      <c r="P78" s="280"/>
      <c r="Q78" s="492"/>
    </row>
    <row r="79" spans="1:17" ht="18" customHeight="1">
      <c r="A79" s="530"/>
      <c r="B79" s="173" t="s">
        <v>93</v>
      </c>
      <c r="C79" s="528"/>
      <c r="D79" s="537">
        <v>0</v>
      </c>
      <c r="E79" s="537">
        <v>0</v>
      </c>
      <c r="F79" s="538">
        <v>0</v>
      </c>
      <c r="G79" s="539">
        <v>0</v>
      </c>
      <c r="H79" s="540">
        <v>0</v>
      </c>
      <c r="I79" s="541">
        <v>0</v>
      </c>
      <c r="J79" s="274">
        <f>+H79+I79</f>
        <v>0</v>
      </c>
      <c r="K79" s="537">
        <v>0</v>
      </c>
      <c r="L79" s="541">
        <v>0</v>
      </c>
      <c r="M79" s="274">
        <f>+K79+L79</f>
        <v>0</v>
      </c>
      <c r="N79" s="275">
        <f>ROUND(+K79*1.06,0)</f>
        <v>0</v>
      </c>
      <c r="O79" s="541">
        <v>0</v>
      </c>
      <c r="P79" s="278">
        <f>+N79+O79</f>
        <v>0</v>
      </c>
      <c r="Q79" s="492"/>
    </row>
    <row r="80" spans="1:17" ht="18" customHeight="1">
      <c r="A80" s="530"/>
      <c r="B80" s="173"/>
      <c r="C80" s="528"/>
      <c r="D80" s="527"/>
      <c r="E80" s="527"/>
      <c r="F80" s="531"/>
      <c r="G80" s="529"/>
      <c r="H80" s="530"/>
      <c r="I80" s="528"/>
      <c r="J80" s="531"/>
      <c r="K80" s="527"/>
      <c r="L80" s="528"/>
      <c r="M80" s="531"/>
      <c r="N80" s="530"/>
      <c r="O80" s="528"/>
      <c r="P80" s="528"/>
      <c r="Q80" s="492"/>
    </row>
    <row r="81" spans="1:17" ht="18" customHeight="1">
      <c r="A81" s="474" t="s">
        <v>14</v>
      </c>
      <c r="B81" s="173"/>
      <c r="C81" s="528"/>
      <c r="D81" s="527"/>
      <c r="E81" s="527"/>
      <c r="F81" s="531"/>
      <c r="G81" s="529"/>
      <c r="H81" s="530"/>
      <c r="I81" s="528"/>
      <c r="J81" s="531"/>
      <c r="K81" s="527"/>
      <c r="L81" s="528"/>
      <c r="M81" s="531"/>
      <c r="N81" s="530"/>
      <c r="O81" s="528"/>
      <c r="P81" s="528"/>
      <c r="Q81" s="492"/>
    </row>
    <row r="82" spans="1:17" ht="18" customHeight="1">
      <c r="A82" s="810" t="s">
        <v>183</v>
      </c>
      <c r="B82" s="173"/>
      <c r="C82" s="528"/>
      <c r="D82" s="527"/>
      <c r="E82" s="527"/>
      <c r="F82" s="531"/>
      <c r="G82" s="529"/>
      <c r="H82" s="530"/>
      <c r="I82" s="528"/>
      <c r="J82" s="531"/>
      <c r="K82" s="527"/>
      <c r="L82" s="528"/>
      <c r="M82" s="531"/>
      <c r="N82" s="530"/>
      <c r="O82" s="528"/>
      <c r="P82" s="528"/>
      <c r="Q82" s="492"/>
    </row>
    <row r="83" spans="1:17" ht="18" customHeight="1">
      <c r="A83" s="552" t="s">
        <v>184</v>
      </c>
      <c r="B83" s="173"/>
      <c r="C83" s="528"/>
      <c r="D83" s="112">
        <f aca="true" t="shared" si="21" ref="D83:P83">SUM(D84:D94)</f>
        <v>0</v>
      </c>
      <c r="E83" s="112">
        <f>SUM(E84:E94)</f>
        <v>0</v>
      </c>
      <c r="F83" s="117">
        <f>SUM(F84:F94)</f>
        <v>0</v>
      </c>
      <c r="G83" s="114">
        <f>SUM(G84:G94)</f>
        <v>0</v>
      </c>
      <c r="H83" s="115">
        <f>SUM(H84:H94)</f>
        <v>0</v>
      </c>
      <c r="I83" s="113">
        <f t="shared" si="21"/>
        <v>0</v>
      </c>
      <c r="J83" s="117">
        <f t="shared" si="21"/>
        <v>0</v>
      </c>
      <c r="K83" s="112">
        <f>SUM(K84:K94)</f>
        <v>0</v>
      </c>
      <c r="L83" s="113">
        <f t="shared" si="21"/>
        <v>0</v>
      </c>
      <c r="M83" s="117">
        <f t="shared" si="21"/>
        <v>0</v>
      </c>
      <c r="N83" s="115">
        <f t="shared" si="21"/>
        <v>0</v>
      </c>
      <c r="O83" s="113">
        <f t="shared" si="21"/>
        <v>0</v>
      </c>
      <c r="P83" s="113">
        <f t="shared" si="21"/>
        <v>0</v>
      </c>
      <c r="Q83" s="492"/>
    </row>
    <row r="84" spans="1:17" ht="18" customHeight="1">
      <c r="A84" s="530"/>
      <c r="B84" s="173" t="s">
        <v>145</v>
      </c>
      <c r="C84" s="528"/>
      <c r="D84" s="532">
        <v>0</v>
      </c>
      <c r="E84" s="532">
        <v>0</v>
      </c>
      <c r="F84" s="533">
        <v>0</v>
      </c>
      <c r="G84" s="534">
        <v>0</v>
      </c>
      <c r="H84" s="535">
        <v>0</v>
      </c>
      <c r="I84" s="536">
        <v>0</v>
      </c>
      <c r="J84" s="270">
        <f aca="true" t="shared" si="22" ref="J84:J92">+H84+I84</f>
        <v>0</v>
      </c>
      <c r="K84" s="532">
        <v>0</v>
      </c>
      <c r="L84" s="536">
        <v>0</v>
      </c>
      <c r="M84" s="270">
        <f aca="true" t="shared" si="23" ref="M84:M92">+K84+L84</f>
        <v>0</v>
      </c>
      <c r="N84" s="271">
        <f>ROUND(+K84*1.06,0)</f>
        <v>0</v>
      </c>
      <c r="O84" s="536">
        <v>0</v>
      </c>
      <c r="P84" s="272">
        <f aca="true" t="shared" si="24" ref="P84:P92">+N84+O84</f>
        <v>0</v>
      </c>
      <c r="Q84" s="492"/>
    </row>
    <row r="85" spans="1:17" ht="18" customHeight="1">
      <c r="A85" s="530"/>
      <c r="B85" s="173" t="s">
        <v>146</v>
      </c>
      <c r="C85" s="528"/>
      <c r="D85" s="544">
        <v>0</v>
      </c>
      <c r="E85" s="544">
        <v>0</v>
      </c>
      <c r="F85" s="531">
        <v>0</v>
      </c>
      <c r="G85" s="529">
        <v>0</v>
      </c>
      <c r="H85" s="530">
        <v>0</v>
      </c>
      <c r="I85" s="528">
        <v>0</v>
      </c>
      <c r="J85" s="255">
        <f t="shared" si="22"/>
        <v>0</v>
      </c>
      <c r="K85" s="544">
        <v>0</v>
      </c>
      <c r="L85" s="528">
        <v>0</v>
      </c>
      <c r="M85" s="255">
        <f t="shared" si="23"/>
        <v>0</v>
      </c>
      <c r="N85" s="253">
        <f aca="true" t="shared" si="25" ref="N85:N92">ROUND(+K85*1.06,0)</f>
        <v>0</v>
      </c>
      <c r="O85" s="528">
        <v>0</v>
      </c>
      <c r="P85" s="280">
        <f t="shared" si="24"/>
        <v>0</v>
      </c>
      <c r="Q85" s="492"/>
    </row>
    <row r="86" spans="1:17" ht="18" customHeight="1">
      <c r="A86" s="530"/>
      <c r="B86" s="173" t="s">
        <v>147</v>
      </c>
      <c r="C86" s="528"/>
      <c r="D86" s="544">
        <v>0</v>
      </c>
      <c r="E86" s="544">
        <v>0</v>
      </c>
      <c r="F86" s="531">
        <v>0</v>
      </c>
      <c r="G86" s="529">
        <v>0</v>
      </c>
      <c r="H86" s="530">
        <v>0</v>
      </c>
      <c r="I86" s="528">
        <v>0</v>
      </c>
      <c r="J86" s="255">
        <f t="shared" si="22"/>
        <v>0</v>
      </c>
      <c r="K86" s="544">
        <v>0</v>
      </c>
      <c r="L86" s="528">
        <v>0</v>
      </c>
      <c r="M86" s="255">
        <f t="shared" si="23"/>
        <v>0</v>
      </c>
      <c r="N86" s="253">
        <f t="shared" si="25"/>
        <v>0</v>
      </c>
      <c r="O86" s="528">
        <v>0</v>
      </c>
      <c r="P86" s="280">
        <f t="shared" si="24"/>
        <v>0</v>
      </c>
      <c r="Q86" s="492"/>
    </row>
    <row r="87" spans="1:17" ht="18" customHeight="1">
      <c r="A87" s="530"/>
      <c r="B87" s="173" t="s">
        <v>148</v>
      </c>
      <c r="C87" s="528"/>
      <c r="D87" s="544">
        <v>0</v>
      </c>
      <c r="E87" s="544">
        <v>0</v>
      </c>
      <c r="F87" s="531">
        <v>0</v>
      </c>
      <c r="G87" s="529">
        <v>0</v>
      </c>
      <c r="H87" s="530">
        <v>0</v>
      </c>
      <c r="I87" s="528">
        <v>0</v>
      </c>
      <c r="J87" s="255">
        <f t="shared" si="22"/>
        <v>0</v>
      </c>
      <c r="K87" s="544">
        <v>0</v>
      </c>
      <c r="L87" s="528">
        <v>0</v>
      </c>
      <c r="M87" s="255">
        <f t="shared" si="23"/>
        <v>0</v>
      </c>
      <c r="N87" s="253">
        <f t="shared" si="25"/>
        <v>0</v>
      </c>
      <c r="O87" s="528">
        <v>0</v>
      </c>
      <c r="P87" s="280">
        <f t="shared" si="24"/>
        <v>0</v>
      </c>
      <c r="Q87" s="492"/>
    </row>
    <row r="88" spans="1:17" ht="18" customHeight="1">
      <c r="A88" s="530"/>
      <c r="B88" s="173" t="s">
        <v>149</v>
      </c>
      <c r="C88" s="528"/>
      <c r="D88" s="544">
        <v>0</v>
      </c>
      <c r="E88" s="544">
        <v>0</v>
      </c>
      <c r="F88" s="531">
        <v>0</v>
      </c>
      <c r="G88" s="529">
        <v>0</v>
      </c>
      <c r="H88" s="530">
        <v>0</v>
      </c>
      <c r="I88" s="528">
        <v>0</v>
      </c>
      <c r="J88" s="255">
        <f t="shared" si="22"/>
        <v>0</v>
      </c>
      <c r="K88" s="544">
        <v>0</v>
      </c>
      <c r="L88" s="528">
        <v>0</v>
      </c>
      <c r="M88" s="255">
        <f t="shared" si="23"/>
        <v>0</v>
      </c>
      <c r="N88" s="253">
        <f t="shared" si="25"/>
        <v>0</v>
      </c>
      <c r="O88" s="528">
        <v>0</v>
      </c>
      <c r="P88" s="280">
        <f t="shared" si="24"/>
        <v>0</v>
      </c>
      <c r="Q88" s="492"/>
    </row>
    <row r="89" spans="1:17" ht="18" customHeight="1">
      <c r="A89" s="530"/>
      <c r="B89" s="173" t="s">
        <v>150</v>
      </c>
      <c r="C89" s="528"/>
      <c r="D89" s="544">
        <v>0</v>
      </c>
      <c r="E89" s="544">
        <v>0</v>
      </c>
      <c r="F89" s="531">
        <v>0</v>
      </c>
      <c r="G89" s="529">
        <v>0</v>
      </c>
      <c r="H89" s="530">
        <v>0</v>
      </c>
      <c r="I89" s="528">
        <v>0</v>
      </c>
      <c r="J89" s="255">
        <f t="shared" si="22"/>
        <v>0</v>
      </c>
      <c r="K89" s="544">
        <v>0</v>
      </c>
      <c r="L89" s="528">
        <v>0</v>
      </c>
      <c r="M89" s="255">
        <f t="shared" si="23"/>
        <v>0</v>
      </c>
      <c r="N89" s="253">
        <f t="shared" si="25"/>
        <v>0</v>
      </c>
      <c r="O89" s="528">
        <v>0</v>
      </c>
      <c r="P89" s="280">
        <f t="shared" si="24"/>
        <v>0</v>
      </c>
      <c r="Q89" s="492"/>
    </row>
    <row r="90" spans="1:17" ht="18" customHeight="1">
      <c r="A90" s="530"/>
      <c r="B90" s="173" t="s">
        <v>151</v>
      </c>
      <c r="C90" s="528"/>
      <c r="D90" s="544">
        <v>0</v>
      </c>
      <c r="E90" s="544">
        <v>0</v>
      </c>
      <c r="F90" s="531">
        <v>0</v>
      </c>
      <c r="G90" s="529">
        <v>0</v>
      </c>
      <c r="H90" s="530">
        <v>0</v>
      </c>
      <c r="I90" s="528">
        <v>0</v>
      </c>
      <c r="J90" s="255">
        <f t="shared" si="22"/>
        <v>0</v>
      </c>
      <c r="K90" s="544">
        <v>0</v>
      </c>
      <c r="L90" s="528">
        <v>0</v>
      </c>
      <c r="M90" s="255">
        <f t="shared" si="23"/>
        <v>0</v>
      </c>
      <c r="N90" s="253">
        <f t="shared" si="25"/>
        <v>0</v>
      </c>
      <c r="O90" s="528">
        <v>0</v>
      </c>
      <c r="P90" s="280">
        <f t="shared" si="24"/>
        <v>0</v>
      </c>
      <c r="Q90" s="492"/>
    </row>
    <row r="91" spans="1:17" ht="18" customHeight="1">
      <c r="A91" s="530"/>
      <c r="B91" s="173" t="s">
        <v>152</v>
      </c>
      <c r="C91" s="528"/>
      <c r="D91" s="544">
        <v>0</v>
      </c>
      <c r="E91" s="544">
        <v>0</v>
      </c>
      <c r="F91" s="531">
        <v>0</v>
      </c>
      <c r="G91" s="529">
        <v>0</v>
      </c>
      <c r="H91" s="530">
        <v>0</v>
      </c>
      <c r="I91" s="528">
        <v>0</v>
      </c>
      <c r="J91" s="255">
        <f t="shared" si="22"/>
        <v>0</v>
      </c>
      <c r="K91" s="544">
        <v>0</v>
      </c>
      <c r="L91" s="528">
        <v>0</v>
      </c>
      <c r="M91" s="255">
        <f t="shared" si="23"/>
        <v>0</v>
      </c>
      <c r="N91" s="253">
        <f t="shared" si="25"/>
        <v>0</v>
      </c>
      <c r="O91" s="528">
        <v>0</v>
      </c>
      <c r="P91" s="280">
        <f t="shared" si="24"/>
        <v>0</v>
      </c>
      <c r="Q91" s="492"/>
    </row>
    <row r="92" spans="1:17" ht="18" customHeight="1">
      <c r="A92" s="530"/>
      <c r="B92" s="173" t="s">
        <v>153</v>
      </c>
      <c r="C92" s="528"/>
      <c r="D92" s="544">
        <v>0</v>
      </c>
      <c r="E92" s="544">
        <v>0</v>
      </c>
      <c r="F92" s="531">
        <v>0</v>
      </c>
      <c r="G92" s="529">
        <v>0</v>
      </c>
      <c r="H92" s="530">
        <v>0</v>
      </c>
      <c r="I92" s="528">
        <v>0</v>
      </c>
      <c r="J92" s="255">
        <f t="shared" si="22"/>
        <v>0</v>
      </c>
      <c r="K92" s="544">
        <v>0</v>
      </c>
      <c r="L92" s="528">
        <v>0</v>
      </c>
      <c r="M92" s="255">
        <f t="shared" si="23"/>
        <v>0</v>
      </c>
      <c r="N92" s="253">
        <f t="shared" si="25"/>
        <v>0</v>
      </c>
      <c r="O92" s="528">
        <v>0</v>
      </c>
      <c r="P92" s="280">
        <f t="shared" si="24"/>
        <v>0</v>
      </c>
      <c r="Q92" s="492"/>
    </row>
    <row r="93" spans="1:17" ht="18" customHeight="1">
      <c r="A93" s="530"/>
      <c r="B93" s="173"/>
      <c r="C93" s="528"/>
      <c r="D93" s="544"/>
      <c r="E93" s="544"/>
      <c r="F93" s="531"/>
      <c r="G93" s="529"/>
      <c r="H93" s="530"/>
      <c r="I93" s="528"/>
      <c r="J93" s="255"/>
      <c r="K93" s="544"/>
      <c r="L93" s="528"/>
      <c r="M93" s="255"/>
      <c r="N93" s="253"/>
      <c r="O93" s="528"/>
      <c r="P93" s="280"/>
      <c r="Q93" s="492"/>
    </row>
    <row r="94" spans="1:17" ht="18" customHeight="1">
      <c r="A94" s="530"/>
      <c r="B94" s="173" t="s">
        <v>93</v>
      </c>
      <c r="C94" s="528"/>
      <c r="D94" s="537">
        <v>0</v>
      </c>
      <c r="E94" s="537">
        <v>0</v>
      </c>
      <c r="F94" s="538">
        <v>0</v>
      </c>
      <c r="G94" s="539">
        <v>0</v>
      </c>
      <c r="H94" s="540">
        <v>0</v>
      </c>
      <c r="I94" s="541">
        <v>0</v>
      </c>
      <c r="J94" s="274">
        <f>+H94+I94</f>
        <v>0</v>
      </c>
      <c r="K94" s="537">
        <v>0</v>
      </c>
      <c r="L94" s="541">
        <v>0</v>
      </c>
      <c r="M94" s="274">
        <f>+K94+L94</f>
        <v>0</v>
      </c>
      <c r="N94" s="275">
        <f>ROUND(+K94*1.06,0)</f>
        <v>0</v>
      </c>
      <c r="O94" s="541">
        <v>0</v>
      </c>
      <c r="P94" s="278">
        <f>+N94+O94</f>
        <v>0</v>
      </c>
      <c r="Q94" s="492"/>
    </row>
    <row r="95" spans="1:17" ht="18" customHeight="1">
      <c r="A95" s="530"/>
      <c r="B95" s="173"/>
      <c r="C95" s="528"/>
      <c r="D95" s="527"/>
      <c r="E95" s="527"/>
      <c r="F95" s="531"/>
      <c r="G95" s="529"/>
      <c r="H95" s="530"/>
      <c r="I95" s="528"/>
      <c r="J95" s="531"/>
      <c r="K95" s="527"/>
      <c r="L95" s="528"/>
      <c r="M95" s="531"/>
      <c r="N95" s="530"/>
      <c r="O95" s="528"/>
      <c r="P95" s="528"/>
      <c r="Q95" s="492"/>
    </row>
    <row r="96" spans="1:17" ht="18" customHeight="1">
      <c r="A96" s="474" t="s">
        <v>14</v>
      </c>
      <c r="B96" s="173"/>
      <c r="C96" s="528"/>
      <c r="D96" s="527"/>
      <c r="E96" s="527"/>
      <c r="F96" s="531"/>
      <c r="G96" s="529"/>
      <c r="H96" s="530"/>
      <c r="I96" s="528"/>
      <c r="J96" s="531"/>
      <c r="K96" s="527"/>
      <c r="L96" s="528"/>
      <c r="M96" s="531"/>
      <c r="N96" s="530"/>
      <c r="O96" s="528"/>
      <c r="P96" s="528"/>
      <c r="Q96" s="492"/>
    </row>
    <row r="97" spans="1:17" ht="18" customHeight="1">
      <c r="A97" s="810" t="s">
        <v>183</v>
      </c>
      <c r="B97" s="173"/>
      <c r="C97" s="528"/>
      <c r="D97" s="527"/>
      <c r="E97" s="527"/>
      <c r="F97" s="531"/>
      <c r="G97" s="529"/>
      <c r="H97" s="530"/>
      <c r="I97" s="528"/>
      <c r="J97" s="531"/>
      <c r="K97" s="527"/>
      <c r="L97" s="528"/>
      <c r="M97" s="531"/>
      <c r="N97" s="530"/>
      <c r="O97" s="528"/>
      <c r="P97" s="528"/>
      <c r="Q97" s="492"/>
    </row>
    <row r="98" spans="1:17" ht="18" customHeight="1">
      <c r="A98" s="552" t="s">
        <v>184</v>
      </c>
      <c r="B98" s="173"/>
      <c r="C98" s="528"/>
      <c r="D98" s="112">
        <f aca="true" t="shared" si="26" ref="D98:P98">SUM(D99:D109)</f>
        <v>0</v>
      </c>
      <c r="E98" s="112">
        <f>SUM(E99:E109)</f>
        <v>0</v>
      </c>
      <c r="F98" s="117">
        <f>SUM(F99:F109)</f>
        <v>0</v>
      </c>
      <c r="G98" s="114">
        <f>SUM(G99:G109)</f>
        <v>0</v>
      </c>
      <c r="H98" s="115">
        <f>SUM(H99:H109)</f>
        <v>0</v>
      </c>
      <c r="I98" s="113">
        <f t="shared" si="26"/>
        <v>0</v>
      </c>
      <c r="J98" s="117">
        <f t="shared" si="26"/>
        <v>0</v>
      </c>
      <c r="K98" s="112">
        <f>SUM(K99:K109)</f>
        <v>0</v>
      </c>
      <c r="L98" s="113">
        <f t="shared" si="26"/>
        <v>0</v>
      </c>
      <c r="M98" s="117">
        <f t="shared" si="26"/>
        <v>0</v>
      </c>
      <c r="N98" s="115">
        <f t="shared" si="26"/>
        <v>0</v>
      </c>
      <c r="O98" s="113">
        <f t="shared" si="26"/>
        <v>0</v>
      </c>
      <c r="P98" s="113">
        <f t="shared" si="26"/>
        <v>0</v>
      </c>
      <c r="Q98" s="492"/>
    </row>
    <row r="99" spans="1:17" ht="18" customHeight="1">
      <c r="A99" s="530"/>
      <c r="B99" s="173" t="s">
        <v>145</v>
      </c>
      <c r="C99" s="528"/>
      <c r="D99" s="532">
        <v>0</v>
      </c>
      <c r="E99" s="532">
        <v>0</v>
      </c>
      <c r="F99" s="533">
        <v>0</v>
      </c>
      <c r="G99" s="534">
        <v>0</v>
      </c>
      <c r="H99" s="535">
        <v>0</v>
      </c>
      <c r="I99" s="536">
        <v>0</v>
      </c>
      <c r="J99" s="270">
        <f aca="true" t="shared" si="27" ref="J99:J107">+H99+I99</f>
        <v>0</v>
      </c>
      <c r="K99" s="532">
        <v>0</v>
      </c>
      <c r="L99" s="536">
        <v>0</v>
      </c>
      <c r="M99" s="270">
        <f aca="true" t="shared" si="28" ref="M99:M107">+K99+L99</f>
        <v>0</v>
      </c>
      <c r="N99" s="271">
        <f>ROUND(+K99*1.06,0)</f>
        <v>0</v>
      </c>
      <c r="O99" s="536">
        <v>0</v>
      </c>
      <c r="P99" s="272">
        <f aca="true" t="shared" si="29" ref="P99:P107">+N99+O99</f>
        <v>0</v>
      </c>
      <c r="Q99" s="492"/>
    </row>
    <row r="100" spans="1:17" ht="18" customHeight="1">
      <c r="A100" s="530"/>
      <c r="B100" s="173" t="s">
        <v>146</v>
      </c>
      <c r="C100" s="528"/>
      <c r="D100" s="544">
        <v>0</v>
      </c>
      <c r="E100" s="544">
        <v>0</v>
      </c>
      <c r="F100" s="531">
        <v>0</v>
      </c>
      <c r="G100" s="529">
        <v>0</v>
      </c>
      <c r="H100" s="530">
        <v>0</v>
      </c>
      <c r="I100" s="528">
        <v>0</v>
      </c>
      <c r="J100" s="255">
        <f t="shared" si="27"/>
        <v>0</v>
      </c>
      <c r="K100" s="544">
        <v>0</v>
      </c>
      <c r="L100" s="528">
        <v>0</v>
      </c>
      <c r="M100" s="255">
        <f t="shared" si="28"/>
        <v>0</v>
      </c>
      <c r="N100" s="253">
        <f aca="true" t="shared" si="30" ref="N100:N107">ROUND(+K100*1.06,0)</f>
        <v>0</v>
      </c>
      <c r="O100" s="528">
        <v>0</v>
      </c>
      <c r="P100" s="280">
        <f t="shared" si="29"/>
        <v>0</v>
      </c>
      <c r="Q100" s="492"/>
    </row>
    <row r="101" spans="1:17" ht="18" customHeight="1">
      <c r="A101" s="530"/>
      <c r="B101" s="173" t="s">
        <v>147</v>
      </c>
      <c r="C101" s="528"/>
      <c r="D101" s="544">
        <v>0</v>
      </c>
      <c r="E101" s="544">
        <v>0</v>
      </c>
      <c r="F101" s="531">
        <v>0</v>
      </c>
      <c r="G101" s="529">
        <v>0</v>
      </c>
      <c r="H101" s="530">
        <v>0</v>
      </c>
      <c r="I101" s="528">
        <v>0</v>
      </c>
      <c r="J101" s="255">
        <f t="shared" si="27"/>
        <v>0</v>
      </c>
      <c r="K101" s="544">
        <v>0</v>
      </c>
      <c r="L101" s="528">
        <v>0</v>
      </c>
      <c r="M101" s="255">
        <f t="shared" si="28"/>
        <v>0</v>
      </c>
      <c r="N101" s="253">
        <f t="shared" si="30"/>
        <v>0</v>
      </c>
      <c r="O101" s="528">
        <v>0</v>
      </c>
      <c r="P101" s="280">
        <f t="shared" si="29"/>
        <v>0</v>
      </c>
      <c r="Q101" s="492"/>
    </row>
    <row r="102" spans="1:17" ht="18" customHeight="1">
      <c r="A102" s="530"/>
      <c r="B102" s="173" t="s">
        <v>148</v>
      </c>
      <c r="C102" s="528"/>
      <c r="D102" s="544">
        <v>0</v>
      </c>
      <c r="E102" s="544">
        <v>0</v>
      </c>
      <c r="F102" s="531">
        <v>0</v>
      </c>
      <c r="G102" s="529">
        <v>0</v>
      </c>
      <c r="H102" s="530">
        <v>0</v>
      </c>
      <c r="I102" s="528">
        <v>0</v>
      </c>
      <c r="J102" s="255">
        <f t="shared" si="27"/>
        <v>0</v>
      </c>
      <c r="K102" s="544">
        <v>0</v>
      </c>
      <c r="L102" s="528">
        <v>0</v>
      </c>
      <c r="M102" s="255">
        <f t="shared" si="28"/>
        <v>0</v>
      </c>
      <c r="N102" s="253">
        <f t="shared" si="30"/>
        <v>0</v>
      </c>
      <c r="O102" s="528">
        <v>0</v>
      </c>
      <c r="P102" s="280">
        <f t="shared" si="29"/>
        <v>0</v>
      </c>
      <c r="Q102" s="492"/>
    </row>
    <row r="103" spans="1:17" ht="18" customHeight="1">
      <c r="A103" s="530"/>
      <c r="B103" s="173" t="s">
        <v>149</v>
      </c>
      <c r="C103" s="528"/>
      <c r="D103" s="544">
        <v>0</v>
      </c>
      <c r="E103" s="544">
        <v>0</v>
      </c>
      <c r="F103" s="531">
        <v>0</v>
      </c>
      <c r="G103" s="529">
        <v>0</v>
      </c>
      <c r="H103" s="530">
        <v>0</v>
      </c>
      <c r="I103" s="528">
        <v>0</v>
      </c>
      <c r="J103" s="255">
        <f t="shared" si="27"/>
        <v>0</v>
      </c>
      <c r="K103" s="544">
        <v>0</v>
      </c>
      <c r="L103" s="528">
        <v>0</v>
      </c>
      <c r="M103" s="255">
        <f t="shared" si="28"/>
        <v>0</v>
      </c>
      <c r="N103" s="253">
        <f t="shared" si="30"/>
        <v>0</v>
      </c>
      <c r="O103" s="528">
        <v>0</v>
      </c>
      <c r="P103" s="280">
        <f t="shared" si="29"/>
        <v>0</v>
      </c>
      <c r="Q103" s="492"/>
    </row>
    <row r="104" spans="1:17" ht="18" customHeight="1">
      <c r="A104" s="530"/>
      <c r="B104" s="173" t="s">
        <v>150</v>
      </c>
      <c r="C104" s="528"/>
      <c r="D104" s="544">
        <v>0</v>
      </c>
      <c r="E104" s="544">
        <v>0</v>
      </c>
      <c r="F104" s="531">
        <v>0</v>
      </c>
      <c r="G104" s="529">
        <v>0</v>
      </c>
      <c r="H104" s="530">
        <v>0</v>
      </c>
      <c r="I104" s="528">
        <v>0</v>
      </c>
      <c r="J104" s="255">
        <f t="shared" si="27"/>
        <v>0</v>
      </c>
      <c r="K104" s="544">
        <v>0</v>
      </c>
      <c r="L104" s="528">
        <v>0</v>
      </c>
      <c r="M104" s="255">
        <f t="shared" si="28"/>
        <v>0</v>
      </c>
      <c r="N104" s="253">
        <f t="shared" si="30"/>
        <v>0</v>
      </c>
      <c r="O104" s="528">
        <v>0</v>
      </c>
      <c r="P104" s="280">
        <f t="shared" si="29"/>
        <v>0</v>
      </c>
      <c r="Q104" s="492"/>
    </row>
    <row r="105" spans="1:17" ht="18" customHeight="1">
      <c r="A105" s="530"/>
      <c r="B105" s="173" t="s">
        <v>151</v>
      </c>
      <c r="C105" s="528"/>
      <c r="D105" s="544">
        <v>0</v>
      </c>
      <c r="E105" s="544">
        <v>0</v>
      </c>
      <c r="F105" s="531">
        <v>0</v>
      </c>
      <c r="G105" s="529">
        <v>0</v>
      </c>
      <c r="H105" s="530">
        <v>0</v>
      </c>
      <c r="I105" s="528">
        <v>0</v>
      </c>
      <c r="J105" s="255">
        <f t="shared" si="27"/>
        <v>0</v>
      </c>
      <c r="K105" s="544">
        <v>0</v>
      </c>
      <c r="L105" s="528">
        <v>0</v>
      </c>
      <c r="M105" s="255">
        <f t="shared" si="28"/>
        <v>0</v>
      </c>
      <c r="N105" s="253">
        <f t="shared" si="30"/>
        <v>0</v>
      </c>
      <c r="O105" s="528">
        <v>0</v>
      </c>
      <c r="P105" s="280">
        <f t="shared" si="29"/>
        <v>0</v>
      </c>
      <c r="Q105" s="492"/>
    </row>
    <row r="106" spans="1:17" ht="18" customHeight="1">
      <c r="A106" s="530"/>
      <c r="B106" s="173" t="s">
        <v>152</v>
      </c>
      <c r="C106" s="528"/>
      <c r="D106" s="544">
        <v>0</v>
      </c>
      <c r="E106" s="544">
        <v>0</v>
      </c>
      <c r="F106" s="531">
        <v>0</v>
      </c>
      <c r="G106" s="529">
        <v>0</v>
      </c>
      <c r="H106" s="530">
        <v>0</v>
      </c>
      <c r="I106" s="528">
        <v>0</v>
      </c>
      <c r="J106" s="255">
        <f t="shared" si="27"/>
        <v>0</v>
      </c>
      <c r="K106" s="544">
        <v>0</v>
      </c>
      <c r="L106" s="528">
        <v>0</v>
      </c>
      <c r="M106" s="255">
        <f t="shared" si="28"/>
        <v>0</v>
      </c>
      <c r="N106" s="253">
        <f t="shared" si="30"/>
        <v>0</v>
      </c>
      <c r="O106" s="528">
        <v>0</v>
      </c>
      <c r="P106" s="280">
        <f t="shared" si="29"/>
        <v>0</v>
      </c>
      <c r="Q106" s="492"/>
    </row>
    <row r="107" spans="1:17" ht="18" customHeight="1">
      <c r="A107" s="530"/>
      <c r="B107" s="173" t="s">
        <v>153</v>
      </c>
      <c r="C107" s="528"/>
      <c r="D107" s="544">
        <v>0</v>
      </c>
      <c r="E107" s="544">
        <v>0</v>
      </c>
      <c r="F107" s="531">
        <v>0</v>
      </c>
      <c r="G107" s="529">
        <v>0</v>
      </c>
      <c r="H107" s="530">
        <v>0</v>
      </c>
      <c r="I107" s="528">
        <v>0</v>
      </c>
      <c r="J107" s="255">
        <f t="shared" si="27"/>
        <v>0</v>
      </c>
      <c r="K107" s="544">
        <v>0</v>
      </c>
      <c r="L107" s="528">
        <v>0</v>
      </c>
      <c r="M107" s="255">
        <f t="shared" si="28"/>
        <v>0</v>
      </c>
      <c r="N107" s="253">
        <f t="shared" si="30"/>
        <v>0</v>
      </c>
      <c r="O107" s="528">
        <v>0</v>
      </c>
      <c r="P107" s="280">
        <f t="shared" si="29"/>
        <v>0</v>
      </c>
      <c r="Q107" s="492"/>
    </row>
    <row r="108" spans="1:17" ht="18" customHeight="1">
      <c r="A108" s="530"/>
      <c r="B108" s="173"/>
      <c r="C108" s="528"/>
      <c r="D108" s="544"/>
      <c r="E108" s="544"/>
      <c r="F108" s="531"/>
      <c r="G108" s="529"/>
      <c r="H108" s="530"/>
      <c r="I108" s="528"/>
      <c r="J108" s="255"/>
      <c r="K108" s="544"/>
      <c r="L108" s="528"/>
      <c r="M108" s="255"/>
      <c r="N108" s="253"/>
      <c r="O108" s="528"/>
      <c r="P108" s="280"/>
      <c r="Q108" s="492"/>
    </row>
    <row r="109" spans="1:17" ht="18" customHeight="1">
      <c r="A109" s="530"/>
      <c r="B109" s="173" t="s">
        <v>93</v>
      </c>
      <c r="C109" s="528"/>
      <c r="D109" s="537">
        <v>0</v>
      </c>
      <c r="E109" s="537">
        <v>0</v>
      </c>
      <c r="F109" s="538">
        <v>0</v>
      </c>
      <c r="G109" s="539">
        <v>0</v>
      </c>
      <c r="H109" s="540">
        <v>0</v>
      </c>
      <c r="I109" s="541">
        <v>0</v>
      </c>
      <c r="J109" s="274">
        <f>+H109+I109</f>
        <v>0</v>
      </c>
      <c r="K109" s="537">
        <v>0</v>
      </c>
      <c r="L109" s="541">
        <v>0</v>
      </c>
      <c r="M109" s="274">
        <f>+K109+L109</f>
        <v>0</v>
      </c>
      <c r="N109" s="275">
        <f>ROUND(+K109*1.06,0)</f>
        <v>0</v>
      </c>
      <c r="O109" s="541">
        <v>0</v>
      </c>
      <c r="P109" s="278">
        <f>+N109+O109</f>
        <v>0</v>
      </c>
      <c r="Q109" s="492"/>
    </row>
    <row r="110" spans="1:17" ht="18" customHeight="1">
      <c r="A110" s="530"/>
      <c r="B110" s="173"/>
      <c r="C110" s="528"/>
      <c r="D110" s="527"/>
      <c r="E110" s="527"/>
      <c r="F110" s="531"/>
      <c r="G110" s="529"/>
      <c r="H110" s="530"/>
      <c r="I110" s="528"/>
      <c r="J110" s="531"/>
      <c r="K110" s="527"/>
      <c r="L110" s="528"/>
      <c r="M110" s="531"/>
      <c r="N110" s="530"/>
      <c r="O110" s="528"/>
      <c r="P110" s="528"/>
      <c r="Q110" s="492"/>
    </row>
    <row r="111" spans="1:17" ht="18" customHeight="1">
      <c r="A111" s="474" t="s">
        <v>14</v>
      </c>
      <c r="B111" s="173"/>
      <c r="C111" s="528"/>
      <c r="D111" s="527"/>
      <c r="E111" s="527"/>
      <c r="F111" s="531"/>
      <c r="G111" s="529"/>
      <c r="H111" s="530"/>
      <c r="I111" s="528"/>
      <c r="J111" s="531"/>
      <c r="K111" s="527"/>
      <c r="L111" s="528"/>
      <c r="M111" s="531"/>
      <c r="N111" s="530"/>
      <c r="O111" s="528"/>
      <c r="P111" s="528"/>
      <c r="Q111" s="492"/>
    </row>
    <row r="112" spans="1:17" ht="18" customHeight="1">
      <c r="A112" s="810" t="s">
        <v>183</v>
      </c>
      <c r="B112" s="173"/>
      <c r="C112" s="528"/>
      <c r="D112" s="527"/>
      <c r="E112" s="527"/>
      <c r="F112" s="531"/>
      <c r="G112" s="529"/>
      <c r="H112" s="530"/>
      <c r="I112" s="528"/>
      <c r="J112" s="531"/>
      <c r="K112" s="527"/>
      <c r="L112" s="528"/>
      <c r="M112" s="531"/>
      <c r="N112" s="530"/>
      <c r="O112" s="528"/>
      <c r="P112" s="528"/>
      <c r="Q112" s="492"/>
    </row>
    <row r="113" spans="1:17" ht="18" customHeight="1">
      <c r="A113" s="552" t="s">
        <v>184</v>
      </c>
      <c r="B113" s="173"/>
      <c r="C113" s="528"/>
      <c r="D113" s="112">
        <f aca="true" t="shared" si="31" ref="D113:P113">SUM(D114:D124)</f>
        <v>0</v>
      </c>
      <c r="E113" s="112">
        <f>SUM(E114:E124)</f>
        <v>0</v>
      </c>
      <c r="F113" s="117">
        <f>SUM(F114:F124)</f>
        <v>0</v>
      </c>
      <c r="G113" s="114">
        <f>SUM(G114:G124)</f>
        <v>0</v>
      </c>
      <c r="H113" s="115">
        <f>SUM(H114:H124)</f>
        <v>0</v>
      </c>
      <c r="I113" s="113">
        <f t="shared" si="31"/>
        <v>0</v>
      </c>
      <c r="J113" s="117">
        <f t="shared" si="31"/>
        <v>0</v>
      </c>
      <c r="K113" s="112">
        <f>SUM(K114:K124)</f>
        <v>0</v>
      </c>
      <c r="L113" s="113">
        <f t="shared" si="31"/>
        <v>0</v>
      </c>
      <c r="M113" s="117">
        <f t="shared" si="31"/>
        <v>0</v>
      </c>
      <c r="N113" s="115">
        <f t="shared" si="31"/>
        <v>0</v>
      </c>
      <c r="O113" s="113">
        <f t="shared" si="31"/>
        <v>0</v>
      </c>
      <c r="P113" s="113">
        <f t="shared" si="31"/>
        <v>0</v>
      </c>
      <c r="Q113" s="492"/>
    </row>
    <row r="114" spans="1:17" ht="18" customHeight="1">
      <c r="A114" s="530"/>
      <c r="B114" s="173" t="s">
        <v>145</v>
      </c>
      <c r="C114" s="528"/>
      <c r="D114" s="532">
        <v>0</v>
      </c>
      <c r="E114" s="532">
        <v>0</v>
      </c>
      <c r="F114" s="533">
        <v>0</v>
      </c>
      <c r="G114" s="534">
        <v>0</v>
      </c>
      <c r="H114" s="535">
        <v>0</v>
      </c>
      <c r="I114" s="536">
        <v>0</v>
      </c>
      <c r="J114" s="270">
        <f aca="true" t="shared" si="32" ref="J114:J122">+H114+I114</f>
        <v>0</v>
      </c>
      <c r="K114" s="532">
        <v>0</v>
      </c>
      <c r="L114" s="536">
        <v>0</v>
      </c>
      <c r="M114" s="270">
        <f aca="true" t="shared" si="33" ref="M114:M122">+K114+L114</f>
        <v>0</v>
      </c>
      <c r="N114" s="271">
        <f>ROUND(+K114*1.06,0)</f>
        <v>0</v>
      </c>
      <c r="O114" s="536">
        <v>0</v>
      </c>
      <c r="P114" s="272">
        <f aca="true" t="shared" si="34" ref="P114:P122">+N114+O114</f>
        <v>0</v>
      </c>
      <c r="Q114" s="492"/>
    </row>
    <row r="115" spans="1:17" ht="18" customHeight="1">
      <c r="A115" s="530"/>
      <c r="B115" s="173" t="s">
        <v>146</v>
      </c>
      <c r="C115" s="528"/>
      <c r="D115" s="544">
        <v>0</v>
      </c>
      <c r="E115" s="544">
        <v>0</v>
      </c>
      <c r="F115" s="531">
        <v>0</v>
      </c>
      <c r="G115" s="529">
        <v>0</v>
      </c>
      <c r="H115" s="530">
        <v>0</v>
      </c>
      <c r="I115" s="528">
        <v>0</v>
      </c>
      <c r="J115" s="255">
        <f t="shared" si="32"/>
        <v>0</v>
      </c>
      <c r="K115" s="544">
        <v>0</v>
      </c>
      <c r="L115" s="528">
        <v>0</v>
      </c>
      <c r="M115" s="255">
        <f t="shared" si="33"/>
        <v>0</v>
      </c>
      <c r="N115" s="253">
        <f aca="true" t="shared" si="35" ref="N115:N122">ROUND(+K115*1.06,0)</f>
        <v>0</v>
      </c>
      <c r="O115" s="528">
        <v>0</v>
      </c>
      <c r="P115" s="280">
        <f t="shared" si="34"/>
        <v>0</v>
      </c>
      <c r="Q115" s="492"/>
    </row>
    <row r="116" spans="1:17" ht="18" customHeight="1">
      <c r="A116" s="530"/>
      <c r="B116" s="173" t="s">
        <v>147</v>
      </c>
      <c r="C116" s="528"/>
      <c r="D116" s="544">
        <v>0</v>
      </c>
      <c r="E116" s="544">
        <v>0</v>
      </c>
      <c r="F116" s="531">
        <v>0</v>
      </c>
      <c r="G116" s="529">
        <v>0</v>
      </c>
      <c r="H116" s="530">
        <v>0</v>
      </c>
      <c r="I116" s="528">
        <v>0</v>
      </c>
      <c r="J116" s="255">
        <f t="shared" si="32"/>
        <v>0</v>
      </c>
      <c r="K116" s="544">
        <v>0</v>
      </c>
      <c r="L116" s="528">
        <v>0</v>
      </c>
      <c r="M116" s="255">
        <f t="shared" si="33"/>
        <v>0</v>
      </c>
      <c r="N116" s="253">
        <f t="shared" si="35"/>
        <v>0</v>
      </c>
      <c r="O116" s="528">
        <v>0</v>
      </c>
      <c r="P116" s="280">
        <f t="shared" si="34"/>
        <v>0</v>
      </c>
      <c r="Q116" s="492"/>
    </row>
    <row r="117" spans="1:17" ht="18" customHeight="1">
      <c r="A117" s="530"/>
      <c r="B117" s="173" t="s">
        <v>148</v>
      </c>
      <c r="C117" s="528"/>
      <c r="D117" s="544">
        <v>0</v>
      </c>
      <c r="E117" s="544">
        <v>0</v>
      </c>
      <c r="F117" s="531">
        <v>0</v>
      </c>
      <c r="G117" s="529">
        <v>0</v>
      </c>
      <c r="H117" s="530">
        <v>0</v>
      </c>
      <c r="I117" s="528">
        <v>0</v>
      </c>
      <c r="J117" s="255">
        <f t="shared" si="32"/>
        <v>0</v>
      </c>
      <c r="K117" s="544">
        <v>0</v>
      </c>
      <c r="L117" s="528">
        <v>0</v>
      </c>
      <c r="M117" s="255">
        <f t="shared" si="33"/>
        <v>0</v>
      </c>
      <c r="N117" s="253">
        <f t="shared" si="35"/>
        <v>0</v>
      </c>
      <c r="O117" s="528">
        <v>0</v>
      </c>
      <c r="P117" s="280">
        <f t="shared" si="34"/>
        <v>0</v>
      </c>
      <c r="Q117" s="492"/>
    </row>
    <row r="118" spans="1:17" ht="18" customHeight="1">
      <c r="A118" s="530"/>
      <c r="B118" s="173" t="s">
        <v>149</v>
      </c>
      <c r="C118" s="528"/>
      <c r="D118" s="544">
        <v>0</v>
      </c>
      <c r="E118" s="544">
        <v>0</v>
      </c>
      <c r="F118" s="531">
        <v>0</v>
      </c>
      <c r="G118" s="529">
        <v>0</v>
      </c>
      <c r="H118" s="530">
        <v>0</v>
      </c>
      <c r="I118" s="528">
        <v>0</v>
      </c>
      <c r="J118" s="255">
        <f t="shared" si="32"/>
        <v>0</v>
      </c>
      <c r="K118" s="544">
        <v>0</v>
      </c>
      <c r="L118" s="528">
        <v>0</v>
      </c>
      <c r="M118" s="255">
        <f t="shared" si="33"/>
        <v>0</v>
      </c>
      <c r="N118" s="253">
        <f t="shared" si="35"/>
        <v>0</v>
      </c>
      <c r="O118" s="528">
        <v>0</v>
      </c>
      <c r="P118" s="280">
        <f t="shared" si="34"/>
        <v>0</v>
      </c>
      <c r="Q118" s="492"/>
    </row>
    <row r="119" spans="1:17" ht="18" customHeight="1">
      <c r="A119" s="530"/>
      <c r="B119" s="173" t="s">
        <v>150</v>
      </c>
      <c r="C119" s="528"/>
      <c r="D119" s="544">
        <v>0</v>
      </c>
      <c r="E119" s="544">
        <v>0</v>
      </c>
      <c r="F119" s="531">
        <v>0</v>
      </c>
      <c r="G119" s="529">
        <v>0</v>
      </c>
      <c r="H119" s="530">
        <v>0</v>
      </c>
      <c r="I119" s="528">
        <v>0</v>
      </c>
      <c r="J119" s="255">
        <f t="shared" si="32"/>
        <v>0</v>
      </c>
      <c r="K119" s="544">
        <v>0</v>
      </c>
      <c r="L119" s="528">
        <v>0</v>
      </c>
      <c r="M119" s="255">
        <f t="shared" si="33"/>
        <v>0</v>
      </c>
      <c r="N119" s="253">
        <f t="shared" si="35"/>
        <v>0</v>
      </c>
      <c r="O119" s="528">
        <v>0</v>
      </c>
      <c r="P119" s="280">
        <f t="shared" si="34"/>
        <v>0</v>
      </c>
      <c r="Q119" s="492"/>
    </row>
    <row r="120" spans="1:17" ht="18" customHeight="1">
      <c r="A120" s="530"/>
      <c r="B120" s="173" t="s">
        <v>151</v>
      </c>
      <c r="C120" s="528"/>
      <c r="D120" s="544">
        <v>0</v>
      </c>
      <c r="E120" s="544">
        <v>0</v>
      </c>
      <c r="F120" s="531">
        <v>0</v>
      </c>
      <c r="G120" s="529">
        <v>0</v>
      </c>
      <c r="H120" s="530">
        <v>0</v>
      </c>
      <c r="I120" s="528">
        <v>0</v>
      </c>
      <c r="J120" s="255">
        <f t="shared" si="32"/>
        <v>0</v>
      </c>
      <c r="K120" s="544">
        <v>0</v>
      </c>
      <c r="L120" s="528">
        <v>0</v>
      </c>
      <c r="M120" s="255">
        <f t="shared" si="33"/>
        <v>0</v>
      </c>
      <c r="N120" s="253">
        <f t="shared" si="35"/>
        <v>0</v>
      </c>
      <c r="O120" s="528">
        <v>0</v>
      </c>
      <c r="P120" s="280">
        <f t="shared" si="34"/>
        <v>0</v>
      </c>
      <c r="Q120" s="492"/>
    </row>
    <row r="121" spans="1:17" ht="18" customHeight="1">
      <c r="A121" s="530"/>
      <c r="B121" s="173" t="s">
        <v>152</v>
      </c>
      <c r="C121" s="528"/>
      <c r="D121" s="544">
        <v>0</v>
      </c>
      <c r="E121" s="544">
        <v>0</v>
      </c>
      <c r="F121" s="531">
        <v>0</v>
      </c>
      <c r="G121" s="529">
        <v>0</v>
      </c>
      <c r="H121" s="530">
        <v>0</v>
      </c>
      <c r="I121" s="528">
        <v>0</v>
      </c>
      <c r="J121" s="255">
        <f t="shared" si="32"/>
        <v>0</v>
      </c>
      <c r="K121" s="544">
        <v>0</v>
      </c>
      <c r="L121" s="528">
        <v>0</v>
      </c>
      <c r="M121" s="255">
        <f t="shared" si="33"/>
        <v>0</v>
      </c>
      <c r="N121" s="253">
        <f t="shared" si="35"/>
        <v>0</v>
      </c>
      <c r="O121" s="528">
        <v>0</v>
      </c>
      <c r="P121" s="280">
        <f t="shared" si="34"/>
        <v>0</v>
      </c>
      <c r="Q121" s="492"/>
    </row>
    <row r="122" spans="1:17" ht="18" customHeight="1">
      <c r="A122" s="530"/>
      <c r="B122" s="173" t="s">
        <v>153</v>
      </c>
      <c r="C122" s="528"/>
      <c r="D122" s="544">
        <v>0</v>
      </c>
      <c r="E122" s="544">
        <v>0</v>
      </c>
      <c r="F122" s="531">
        <v>0</v>
      </c>
      <c r="G122" s="529">
        <v>0</v>
      </c>
      <c r="H122" s="530">
        <v>0</v>
      </c>
      <c r="I122" s="528">
        <v>0</v>
      </c>
      <c r="J122" s="255">
        <f t="shared" si="32"/>
        <v>0</v>
      </c>
      <c r="K122" s="544">
        <v>0</v>
      </c>
      <c r="L122" s="528">
        <v>0</v>
      </c>
      <c r="M122" s="255">
        <f t="shared" si="33"/>
        <v>0</v>
      </c>
      <c r="N122" s="253">
        <f t="shared" si="35"/>
        <v>0</v>
      </c>
      <c r="O122" s="528">
        <v>0</v>
      </c>
      <c r="P122" s="280">
        <f t="shared" si="34"/>
        <v>0</v>
      </c>
      <c r="Q122" s="492"/>
    </row>
    <row r="123" spans="1:17" ht="18" customHeight="1">
      <c r="A123" s="530"/>
      <c r="B123" s="173"/>
      <c r="C123" s="528"/>
      <c r="D123" s="544"/>
      <c r="E123" s="544"/>
      <c r="F123" s="531"/>
      <c r="G123" s="529"/>
      <c r="H123" s="530"/>
      <c r="I123" s="528"/>
      <c r="J123" s="255"/>
      <c r="K123" s="544"/>
      <c r="L123" s="528"/>
      <c r="M123" s="255"/>
      <c r="N123" s="253"/>
      <c r="O123" s="528"/>
      <c r="P123" s="280"/>
      <c r="Q123" s="492"/>
    </row>
    <row r="124" spans="1:17" ht="18" customHeight="1">
      <c r="A124" s="530"/>
      <c r="B124" s="173" t="s">
        <v>93</v>
      </c>
      <c r="C124" s="528"/>
      <c r="D124" s="537">
        <v>0</v>
      </c>
      <c r="E124" s="537">
        <v>0</v>
      </c>
      <c r="F124" s="538">
        <v>0</v>
      </c>
      <c r="G124" s="539">
        <v>0</v>
      </c>
      <c r="H124" s="540">
        <v>0</v>
      </c>
      <c r="I124" s="541">
        <v>0</v>
      </c>
      <c r="J124" s="274">
        <f>+H124+I124</f>
        <v>0</v>
      </c>
      <c r="K124" s="537">
        <v>0</v>
      </c>
      <c r="L124" s="541">
        <v>0</v>
      </c>
      <c r="M124" s="274">
        <f>+K124+L124</f>
        <v>0</v>
      </c>
      <c r="N124" s="275">
        <f>ROUND(+K124*1.06,0)</f>
        <v>0</v>
      </c>
      <c r="O124" s="541">
        <v>0</v>
      </c>
      <c r="P124" s="278">
        <f>+N124+O124</f>
        <v>0</v>
      </c>
      <c r="Q124" s="492"/>
    </row>
    <row r="125" spans="1:17" ht="18" customHeight="1">
      <c r="A125" s="530"/>
      <c r="B125" s="173"/>
      <c r="C125" s="528"/>
      <c r="D125" s="527"/>
      <c r="E125" s="527"/>
      <c r="F125" s="531"/>
      <c r="G125" s="529"/>
      <c r="H125" s="530"/>
      <c r="I125" s="528"/>
      <c r="J125" s="531"/>
      <c r="K125" s="527"/>
      <c r="L125" s="528"/>
      <c r="M125" s="531"/>
      <c r="N125" s="530"/>
      <c r="O125" s="528"/>
      <c r="P125" s="528"/>
      <c r="Q125" s="492"/>
    </row>
    <row r="126" spans="1:17" ht="18" customHeight="1">
      <c r="A126" s="474" t="s">
        <v>14</v>
      </c>
      <c r="B126" s="173"/>
      <c r="C126" s="528"/>
      <c r="D126" s="527"/>
      <c r="E126" s="527"/>
      <c r="F126" s="531"/>
      <c r="G126" s="529"/>
      <c r="H126" s="530"/>
      <c r="I126" s="528"/>
      <c r="J126" s="531"/>
      <c r="K126" s="527"/>
      <c r="L126" s="528"/>
      <c r="M126" s="531"/>
      <c r="N126" s="530"/>
      <c r="O126" s="528"/>
      <c r="P126" s="528"/>
      <c r="Q126" s="492"/>
    </row>
    <row r="127" spans="1:17" ht="18" customHeight="1">
      <c r="A127" s="810" t="s">
        <v>183</v>
      </c>
      <c r="B127" s="173"/>
      <c r="C127" s="528"/>
      <c r="D127" s="527"/>
      <c r="E127" s="527"/>
      <c r="F127" s="531"/>
      <c r="G127" s="529"/>
      <c r="H127" s="530"/>
      <c r="I127" s="528"/>
      <c r="J127" s="531"/>
      <c r="K127" s="527"/>
      <c r="L127" s="528"/>
      <c r="M127" s="531"/>
      <c r="N127" s="530"/>
      <c r="O127" s="528"/>
      <c r="P127" s="528"/>
      <c r="Q127" s="492"/>
    </row>
    <row r="128" spans="1:17" ht="18" customHeight="1">
      <c r="A128" s="552" t="s">
        <v>184</v>
      </c>
      <c r="B128" s="173"/>
      <c r="C128" s="528"/>
      <c r="D128" s="112">
        <f aca="true" t="shared" si="36" ref="D128:P128">SUM(D129:D139)</f>
        <v>0</v>
      </c>
      <c r="E128" s="112">
        <f>SUM(E129:E139)</f>
        <v>0</v>
      </c>
      <c r="F128" s="117">
        <f>SUM(F129:F139)</f>
        <v>0</v>
      </c>
      <c r="G128" s="114">
        <f>SUM(G129:G139)</f>
        <v>0</v>
      </c>
      <c r="H128" s="115">
        <f>SUM(H129:H139)</f>
        <v>0</v>
      </c>
      <c r="I128" s="113">
        <f t="shared" si="36"/>
        <v>0</v>
      </c>
      <c r="J128" s="117">
        <f t="shared" si="36"/>
        <v>0</v>
      </c>
      <c r="K128" s="112">
        <f>SUM(K129:K139)</f>
        <v>0</v>
      </c>
      <c r="L128" s="113">
        <f t="shared" si="36"/>
        <v>0</v>
      </c>
      <c r="M128" s="117">
        <f t="shared" si="36"/>
        <v>0</v>
      </c>
      <c r="N128" s="115">
        <f t="shared" si="36"/>
        <v>0</v>
      </c>
      <c r="O128" s="113">
        <f t="shared" si="36"/>
        <v>0</v>
      </c>
      <c r="P128" s="113">
        <f t="shared" si="36"/>
        <v>0</v>
      </c>
      <c r="Q128" s="492"/>
    </row>
    <row r="129" spans="1:17" ht="18" customHeight="1">
      <c r="A129" s="530"/>
      <c r="B129" s="173" t="s">
        <v>145</v>
      </c>
      <c r="C129" s="528"/>
      <c r="D129" s="532">
        <v>0</v>
      </c>
      <c r="E129" s="532">
        <v>0</v>
      </c>
      <c r="F129" s="533">
        <v>0</v>
      </c>
      <c r="G129" s="534">
        <v>0</v>
      </c>
      <c r="H129" s="535">
        <v>0</v>
      </c>
      <c r="I129" s="536">
        <v>0</v>
      </c>
      <c r="J129" s="270">
        <f aca="true" t="shared" si="37" ref="J129:J137">+H129+I129</f>
        <v>0</v>
      </c>
      <c r="K129" s="532">
        <v>0</v>
      </c>
      <c r="L129" s="536">
        <v>0</v>
      </c>
      <c r="M129" s="270">
        <f aca="true" t="shared" si="38" ref="M129:M137">+K129+L129</f>
        <v>0</v>
      </c>
      <c r="N129" s="271">
        <f>ROUND(+K129*1.06,0)</f>
        <v>0</v>
      </c>
      <c r="O129" s="536">
        <v>0</v>
      </c>
      <c r="P129" s="272">
        <f aca="true" t="shared" si="39" ref="P129:P137">+N129+O129</f>
        <v>0</v>
      </c>
      <c r="Q129" s="492"/>
    </row>
    <row r="130" spans="1:17" ht="18" customHeight="1">
      <c r="A130" s="530"/>
      <c r="B130" s="173" t="s">
        <v>146</v>
      </c>
      <c r="C130" s="528"/>
      <c r="D130" s="544">
        <v>0</v>
      </c>
      <c r="E130" s="544">
        <v>0</v>
      </c>
      <c r="F130" s="531">
        <v>0</v>
      </c>
      <c r="G130" s="529">
        <v>0</v>
      </c>
      <c r="H130" s="530">
        <v>0</v>
      </c>
      <c r="I130" s="528">
        <v>0</v>
      </c>
      <c r="J130" s="255">
        <f t="shared" si="37"/>
        <v>0</v>
      </c>
      <c r="K130" s="544">
        <v>0</v>
      </c>
      <c r="L130" s="528">
        <v>0</v>
      </c>
      <c r="M130" s="255">
        <f t="shared" si="38"/>
        <v>0</v>
      </c>
      <c r="N130" s="253">
        <f aca="true" t="shared" si="40" ref="N130:N137">ROUND(+K130*1.06,0)</f>
        <v>0</v>
      </c>
      <c r="O130" s="528">
        <v>0</v>
      </c>
      <c r="P130" s="280">
        <f t="shared" si="39"/>
        <v>0</v>
      </c>
      <c r="Q130" s="492"/>
    </row>
    <row r="131" spans="1:17" ht="18" customHeight="1">
      <c r="A131" s="530"/>
      <c r="B131" s="173" t="s">
        <v>147</v>
      </c>
      <c r="C131" s="528"/>
      <c r="D131" s="544">
        <v>0</v>
      </c>
      <c r="E131" s="544">
        <v>0</v>
      </c>
      <c r="F131" s="531">
        <v>0</v>
      </c>
      <c r="G131" s="529">
        <v>0</v>
      </c>
      <c r="H131" s="530">
        <v>0</v>
      </c>
      <c r="I131" s="528">
        <v>0</v>
      </c>
      <c r="J131" s="255">
        <f t="shared" si="37"/>
        <v>0</v>
      </c>
      <c r="K131" s="544">
        <v>0</v>
      </c>
      <c r="L131" s="528">
        <v>0</v>
      </c>
      <c r="M131" s="255">
        <f t="shared" si="38"/>
        <v>0</v>
      </c>
      <c r="N131" s="253">
        <f t="shared" si="40"/>
        <v>0</v>
      </c>
      <c r="O131" s="528">
        <v>0</v>
      </c>
      <c r="P131" s="280">
        <f t="shared" si="39"/>
        <v>0</v>
      </c>
      <c r="Q131" s="492"/>
    </row>
    <row r="132" spans="1:17" ht="18" customHeight="1">
      <c r="A132" s="530"/>
      <c r="B132" s="173" t="s">
        <v>148</v>
      </c>
      <c r="C132" s="528"/>
      <c r="D132" s="544">
        <v>0</v>
      </c>
      <c r="E132" s="544">
        <v>0</v>
      </c>
      <c r="F132" s="531">
        <v>0</v>
      </c>
      <c r="G132" s="529">
        <v>0</v>
      </c>
      <c r="H132" s="530">
        <v>0</v>
      </c>
      <c r="I132" s="528">
        <v>0</v>
      </c>
      <c r="J132" s="255">
        <f t="shared" si="37"/>
        <v>0</v>
      </c>
      <c r="K132" s="544">
        <v>0</v>
      </c>
      <c r="L132" s="528">
        <v>0</v>
      </c>
      <c r="M132" s="255">
        <f t="shared" si="38"/>
        <v>0</v>
      </c>
      <c r="N132" s="253">
        <f t="shared" si="40"/>
        <v>0</v>
      </c>
      <c r="O132" s="528">
        <v>0</v>
      </c>
      <c r="P132" s="280">
        <f t="shared" si="39"/>
        <v>0</v>
      </c>
      <c r="Q132" s="492"/>
    </row>
    <row r="133" spans="1:17" ht="18" customHeight="1">
      <c r="A133" s="530"/>
      <c r="B133" s="173" t="s">
        <v>149</v>
      </c>
      <c r="C133" s="528"/>
      <c r="D133" s="544">
        <v>0</v>
      </c>
      <c r="E133" s="544">
        <v>0</v>
      </c>
      <c r="F133" s="531">
        <v>0</v>
      </c>
      <c r="G133" s="529">
        <v>0</v>
      </c>
      <c r="H133" s="530">
        <v>0</v>
      </c>
      <c r="I133" s="528">
        <v>0</v>
      </c>
      <c r="J133" s="255">
        <f t="shared" si="37"/>
        <v>0</v>
      </c>
      <c r="K133" s="544">
        <v>0</v>
      </c>
      <c r="L133" s="528">
        <v>0</v>
      </c>
      <c r="M133" s="255">
        <f t="shared" si="38"/>
        <v>0</v>
      </c>
      <c r="N133" s="253">
        <f t="shared" si="40"/>
        <v>0</v>
      </c>
      <c r="O133" s="528">
        <v>0</v>
      </c>
      <c r="P133" s="280">
        <f t="shared" si="39"/>
        <v>0</v>
      </c>
      <c r="Q133" s="492"/>
    </row>
    <row r="134" spans="1:17" ht="18" customHeight="1">
      <c r="A134" s="530"/>
      <c r="B134" s="173" t="s">
        <v>150</v>
      </c>
      <c r="C134" s="528"/>
      <c r="D134" s="544">
        <v>0</v>
      </c>
      <c r="E134" s="544">
        <v>0</v>
      </c>
      <c r="F134" s="531">
        <v>0</v>
      </c>
      <c r="G134" s="529">
        <v>0</v>
      </c>
      <c r="H134" s="530">
        <v>0</v>
      </c>
      <c r="I134" s="528">
        <v>0</v>
      </c>
      <c r="J134" s="255">
        <f t="shared" si="37"/>
        <v>0</v>
      </c>
      <c r="K134" s="544">
        <v>0</v>
      </c>
      <c r="L134" s="528">
        <v>0</v>
      </c>
      <c r="M134" s="255">
        <f t="shared" si="38"/>
        <v>0</v>
      </c>
      <c r="N134" s="253">
        <f t="shared" si="40"/>
        <v>0</v>
      </c>
      <c r="O134" s="528">
        <v>0</v>
      </c>
      <c r="P134" s="280">
        <f t="shared" si="39"/>
        <v>0</v>
      </c>
      <c r="Q134" s="492"/>
    </row>
    <row r="135" spans="1:17" ht="18" customHeight="1">
      <c r="A135" s="530"/>
      <c r="B135" s="173" t="s">
        <v>151</v>
      </c>
      <c r="C135" s="528"/>
      <c r="D135" s="544">
        <v>0</v>
      </c>
      <c r="E135" s="544">
        <v>0</v>
      </c>
      <c r="F135" s="531">
        <v>0</v>
      </c>
      <c r="G135" s="529">
        <v>0</v>
      </c>
      <c r="H135" s="530">
        <v>0</v>
      </c>
      <c r="I135" s="528">
        <v>0</v>
      </c>
      <c r="J135" s="255">
        <f t="shared" si="37"/>
        <v>0</v>
      </c>
      <c r="K135" s="544">
        <v>0</v>
      </c>
      <c r="L135" s="528">
        <v>0</v>
      </c>
      <c r="M135" s="255">
        <f t="shared" si="38"/>
        <v>0</v>
      </c>
      <c r="N135" s="253">
        <f t="shared" si="40"/>
        <v>0</v>
      </c>
      <c r="O135" s="528">
        <v>0</v>
      </c>
      <c r="P135" s="280">
        <f t="shared" si="39"/>
        <v>0</v>
      </c>
      <c r="Q135" s="492"/>
    </row>
    <row r="136" spans="1:17" ht="18" customHeight="1">
      <c r="A136" s="530"/>
      <c r="B136" s="173" t="s">
        <v>152</v>
      </c>
      <c r="C136" s="528"/>
      <c r="D136" s="544">
        <v>0</v>
      </c>
      <c r="E136" s="544">
        <v>0</v>
      </c>
      <c r="F136" s="531">
        <v>0</v>
      </c>
      <c r="G136" s="529">
        <v>0</v>
      </c>
      <c r="H136" s="530">
        <v>0</v>
      </c>
      <c r="I136" s="528">
        <v>0</v>
      </c>
      <c r="J136" s="255">
        <f t="shared" si="37"/>
        <v>0</v>
      </c>
      <c r="K136" s="544">
        <v>0</v>
      </c>
      <c r="L136" s="528">
        <v>0</v>
      </c>
      <c r="M136" s="255">
        <f t="shared" si="38"/>
        <v>0</v>
      </c>
      <c r="N136" s="253">
        <f t="shared" si="40"/>
        <v>0</v>
      </c>
      <c r="O136" s="528">
        <v>0</v>
      </c>
      <c r="P136" s="280">
        <f t="shared" si="39"/>
        <v>0</v>
      </c>
      <c r="Q136" s="492"/>
    </row>
    <row r="137" spans="1:17" ht="18" customHeight="1">
      <c r="A137" s="530"/>
      <c r="B137" s="173" t="s">
        <v>153</v>
      </c>
      <c r="C137" s="528"/>
      <c r="D137" s="544">
        <v>0</v>
      </c>
      <c r="E137" s="544">
        <v>0</v>
      </c>
      <c r="F137" s="531">
        <v>0</v>
      </c>
      <c r="G137" s="529">
        <v>0</v>
      </c>
      <c r="H137" s="530">
        <v>0</v>
      </c>
      <c r="I137" s="528">
        <v>0</v>
      </c>
      <c r="J137" s="255">
        <f t="shared" si="37"/>
        <v>0</v>
      </c>
      <c r="K137" s="544">
        <v>0</v>
      </c>
      <c r="L137" s="528">
        <v>0</v>
      </c>
      <c r="M137" s="255">
        <f t="shared" si="38"/>
        <v>0</v>
      </c>
      <c r="N137" s="253">
        <f t="shared" si="40"/>
        <v>0</v>
      </c>
      <c r="O137" s="528">
        <v>0</v>
      </c>
      <c r="P137" s="280">
        <f t="shared" si="39"/>
        <v>0</v>
      </c>
      <c r="Q137" s="492"/>
    </row>
    <row r="138" spans="1:17" ht="18" customHeight="1">
      <c r="A138" s="530"/>
      <c r="B138" s="173"/>
      <c r="C138" s="528"/>
      <c r="D138" s="544"/>
      <c r="E138" s="544"/>
      <c r="F138" s="531"/>
      <c r="G138" s="529"/>
      <c r="H138" s="530"/>
      <c r="I138" s="528"/>
      <c r="J138" s="255"/>
      <c r="K138" s="544"/>
      <c r="L138" s="528"/>
      <c r="M138" s="255"/>
      <c r="N138" s="253"/>
      <c r="O138" s="528"/>
      <c r="P138" s="280"/>
      <c r="Q138" s="492"/>
    </row>
    <row r="139" spans="1:17" ht="18" customHeight="1">
      <c r="A139" s="530"/>
      <c r="B139" s="173" t="s">
        <v>93</v>
      </c>
      <c r="C139" s="528"/>
      <c r="D139" s="537">
        <v>0</v>
      </c>
      <c r="E139" s="537">
        <v>0</v>
      </c>
      <c r="F139" s="538">
        <v>0</v>
      </c>
      <c r="G139" s="539">
        <v>0</v>
      </c>
      <c r="H139" s="540">
        <v>0</v>
      </c>
      <c r="I139" s="541">
        <v>0</v>
      </c>
      <c r="J139" s="274">
        <f>+H139+I139</f>
        <v>0</v>
      </c>
      <c r="K139" s="537">
        <v>0</v>
      </c>
      <c r="L139" s="541">
        <v>0</v>
      </c>
      <c r="M139" s="274">
        <f>+K139+L139</f>
        <v>0</v>
      </c>
      <c r="N139" s="275">
        <f>ROUND(+K139*1.06,0)</f>
        <v>0</v>
      </c>
      <c r="O139" s="541">
        <v>0</v>
      </c>
      <c r="P139" s="278">
        <f>+N139+O139</f>
        <v>0</v>
      </c>
      <c r="Q139" s="492"/>
    </row>
    <row r="140" spans="1:17" ht="18" customHeight="1" thickBot="1">
      <c r="A140" s="530"/>
      <c r="B140" s="173"/>
      <c r="C140" s="528"/>
      <c r="D140" s="527"/>
      <c r="E140" s="528"/>
      <c r="F140" s="528"/>
      <c r="G140" s="529"/>
      <c r="H140" s="527"/>
      <c r="I140" s="528"/>
      <c r="J140" s="531"/>
      <c r="K140" s="530"/>
      <c r="L140" s="528"/>
      <c r="M140" s="531"/>
      <c r="N140" s="530"/>
      <c r="O140" s="528"/>
      <c r="P140" s="528"/>
      <c r="Q140" s="492"/>
    </row>
    <row r="141" spans="1:17" ht="30" customHeight="1" thickBot="1">
      <c r="A141" s="553" t="s">
        <v>4</v>
      </c>
      <c r="B141" s="207"/>
      <c r="C141" s="554"/>
      <c r="D141" s="298">
        <f aca="true" t="shared" si="41" ref="D141:P141">D23+D38+D53+D68+D83+D98+D113+D128</f>
        <v>0</v>
      </c>
      <c r="E141" s="302">
        <f t="shared" si="41"/>
        <v>0</v>
      </c>
      <c r="F141" s="302">
        <f t="shared" si="41"/>
        <v>0</v>
      </c>
      <c r="G141" s="300">
        <f t="shared" si="41"/>
        <v>0</v>
      </c>
      <c r="H141" s="298">
        <f t="shared" si="41"/>
        <v>0</v>
      </c>
      <c r="I141" s="302">
        <f t="shared" si="41"/>
        <v>0</v>
      </c>
      <c r="J141" s="299">
        <f t="shared" si="41"/>
        <v>0</v>
      </c>
      <c r="K141" s="301">
        <f t="shared" si="41"/>
        <v>0</v>
      </c>
      <c r="L141" s="302">
        <f t="shared" si="41"/>
        <v>0</v>
      </c>
      <c r="M141" s="299">
        <f t="shared" si="41"/>
        <v>0</v>
      </c>
      <c r="N141" s="301">
        <f t="shared" si="41"/>
        <v>0</v>
      </c>
      <c r="O141" s="302">
        <f t="shared" si="41"/>
        <v>0</v>
      </c>
      <c r="P141" s="302">
        <f t="shared" si="41"/>
        <v>0</v>
      </c>
      <c r="Q141" s="523"/>
    </row>
    <row r="142" ht="15" customHeight="1" thickTop="1">
      <c r="P142" s="483"/>
    </row>
  </sheetData>
  <sheetProtection password="CA7F" sheet="1" objects="1" scenarios="1"/>
  <mergeCells count="2">
    <mergeCell ref="A1:Q1"/>
    <mergeCell ref="A3:Q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19" r:id="rId1"/>
  <rowBreaks count="1" manualBreakCount="1">
    <brk id="7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39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5.57421875" style="967" customWidth="1"/>
    <col min="2" max="2" width="55.7109375" style="967" customWidth="1"/>
    <col min="3" max="3" width="1.7109375" style="967" customWidth="1"/>
    <col min="4" max="17" width="15.7109375" style="967" customWidth="1"/>
    <col min="18" max="18" width="1.8515625" style="967" customWidth="1"/>
    <col min="19" max="16384" width="10.28125" style="967" customWidth="1"/>
  </cols>
  <sheetData>
    <row r="1" spans="1:23" s="964" customFormat="1" ht="24.75" customHeight="1">
      <c r="A1" s="1" t="str">
        <f>'Schedule 1 '!A1</f>
        <v>VOTE:  21  DEFENCE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962" t="s">
        <v>68</v>
      </c>
      <c r="T1" s="963"/>
      <c r="U1" s="963"/>
      <c r="V1" s="963"/>
      <c r="W1" s="963"/>
    </row>
    <row r="2" spans="1:196" ht="16.5">
      <c r="A2" s="965"/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697" t="s">
        <v>155</v>
      </c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6"/>
      <c r="AM2" s="966"/>
      <c r="AN2" s="966"/>
      <c r="AO2" s="966"/>
      <c r="AP2" s="966"/>
      <c r="AQ2" s="966"/>
      <c r="AR2" s="966"/>
      <c r="AS2" s="966"/>
      <c r="AT2" s="966"/>
      <c r="AU2" s="966"/>
      <c r="AV2" s="966"/>
      <c r="AW2" s="966"/>
      <c r="AX2" s="966"/>
      <c r="AY2" s="966"/>
      <c r="AZ2" s="966"/>
      <c r="BA2" s="966"/>
      <c r="BB2" s="966"/>
      <c r="BC2" s="966"/>
      <c r="BD2" s="966"/>
      <c r="BE2" s="966"/>
      <c r="BF2" s="966"/>
      <c r="BG2" s="966"/>
      <c r="BH2" s="966"/>
      <c r="BI2" s="966"/>
      <c r="BJ2" s="966"/>
      <c r="BK2" s="966"/>
      <c r="BL2" s="966"/>
      <c r="BM2" s="966"/>
      <c r="BN2" s="966"/>
      <c r="BO2" s="966"/>
      <c r="BP2" s="966"/>
      <c r="BQ2" s="966"/>
      <c r="BR2" s="966"/>
      <c r="BS2" s="966"/>
      <c r="BT2" s="966"/>
      <c r="BU2" s="966"/>
      <c r="BV2" s="966"/>
      <c r="BW2" s="966"/>
      <c r="BX2" s="966"/>
      <c r="BY2" s="966"/>
      <c r="BZ2" s="966"/>
      <c r="CA2" s="966"/>
      <c r="CB2" s="966"/>
      <c r="CC2" s="966"/>
      <c r="CD2" s="966"/>
      <c r="CE2" s="966"/>
      <c r="CF2" s="966"/>
      <c r="CG2" s="966"/>
      <c r="CH2" s="966"/>
      <c r="CI2" s="966"/>
      <c r="CJ2" s="966"/>
      <c r="CK2" s="966"/>
      <c r="CL2" s="966"/>
      <c r="CM2" s="966"/>
      <c r="CN2" s="966"/>
      <c r="CO2" s="966"/>
      <c r="CP2" s="966"/>
      <c r="CQ2" s="966"/>
      <c r="CR2" s="966"/>
      <c r="CS2" s="966"/>
      <c r="CT2" s="966"/>
      <c r="CU2" s="966"/>
      <c r="CV2" s="966"/>
      <c r="CW2" s="966"/>
      <c r="CX2" s="966"/>
      <c r="CY2" s="966"/>
      <c r="CZ2" s="966"/>
      <c r="DA2" s="966"/>
      <c r="DB2" s="966"/>
      <c r="DC2" s="966"/>
      <c r="DD2" s="966"/>
      <c r="DE2" s="966"/>
      <c r="DF2" s="966"/>
      <c r="DG2" s="966"/>
      <c r="DH2" s="966"/>
      <c r="DI2" s="966"/>
      <c r="DJ2" s="966"/>
      <c r="DK2" s="966"/>
      <c r="DL2" s="966"/>
      <c r="DM2" s="966"/>
      <c r="DN2" s="966"/>
      <c r="DO2" s="966"/>
      <c r="DP2" s="966"/>
      <c r="DQ2" s="966"/>
      <c r="DR2" s="966"/>
      <c r="DS2" s="966"/>
      <c r="DT2" s="966"/>
      <c r="DU2" s="966"/>
      <c r="DV2" s="966"/>
      <c r="DW2" s="966"/>
      <c r="DX2" s="966"/>
      <c r="DY2" s="966"/>
      <c r="DZ2" s="966"/>
      <c r="EA2" s="966"/>
      <c r="EB2" s="966"/>
      <c r="EC2" s="966"/>
      <c r="ED2" s="966"/>
      <c r="EE2" s="966"/>
      <c r="EF2" s="966"/>
      <c r="EG2" s="966"/>
      <c r="EH2" s="966"/>
      <c r="EI2" s="966"/>
      <c r="EJ2" s="966"/>
      <c r="EK2" s="966"/>
      <c r="EL2" s="966"/>
      <c r="EM2" s="966"/>
      <c r="EN2" s="966"/>
      <c r="EO2" s="966"/>
      <c r="EP2" s="966"/>
      <c r="EQ2" s="966"/>
      <c r="ER2" s="966"/>
      <c r="ES2" s="966"/>
      <c r="ET2" s="966"/>
      <c r="EU2" s="966"/>
      <c r="EV2" s="966"/>
      <c r="EW2" s="966"/>
      <c r="EX2" s="966"/>
      <c r="EY2" s="966"/>
      <c r="EZ2" s="966"/>
      <c r="FA2" s="966"/>
      <c r="FB2" s="966"/>
      <c r="FC2" s="966"/>
      <c r="FD2" s="966"/>
      <c r="FE2" s="966"/>
      <c r="FF2" s="966"/>
      <c r="FG2" s="966"/>
      <c r="FH2" s="966"/>
      <c r="FI2" s="966"/>
      <c r="FJ2" s="966"/>
      <c r="FK2" s="966"/>
      <c r="FL2" s="966"/>
      <c r="FM2" s="966"/>
      <c r="FN2" s="966"/>
      <c r="FO2" s="966"/>
      <c r="FP2" s="966"/>
      <c r="FQ2" s="966"/>
      <c r="FR2" s="966"/>
      <c r="FS2" s="966"/>
      <c r="FT2" s="966"/>
      <c r="FU2" s="966"/>
      <c r="FV2" s="966"/>
      <c r="FW2" s="966"/>
      <c r="FX2" s="966"/>
      <c r="FY2" s="966"/>
      <c r="FZ2" s="966"/>
      <c r="GA2" s="966"/>
      <c r="GB2" s="966"/>
      <c r="GC2" s="966"/>
      <c r="GD2" s="966"/>
      <c r="GE2" s="966"/>
      <c r="GF2" s="966"/>
      <c r="GG2" s="966"/>
      <c r="GH2" s="966"/>
      <c r="GI2" s="966"/>
      <c r="GJ2" s="966"/>
      <c r="GK2" s="966"/>
      <c r="GL2" s="966"/>
      <c r="GM2" s="966"/>
      <c r="GN2" s="966"/>
    </row>
    <row r="3" spans="1:196" ht="22.5">
      <c r="A3" s="634" t="s">
        <v>154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966"/>
      <c r="AJ3" s="966"/>
      <c r="AK3" s="966"/>
      <c r="AL3" s="966"/>
      <c r="AM3" s="966"/>
      <c r="AN3" s="966"/>
      <c r="AO3" s="966"/>
      <c r="AP3" s="966"/>
      <c r="AQ3" s="966"/>
      <c r="AR3" s="966"/>
      <c r="AS3" s="966"/>
      <c r="AT3" s="966"/>
      <c r="AU3" s="966"/>
      <c r="AV3" s="966"/>
      <c r="AW3" s="966"/>
      <c r="AX3" s="966"/>
      <c r="AY3" s="966"/>
      <c r="AZ3" s="966"/>
      <c r="BA3" s="966"/>
      <c r="BB3" s="966"/>
      <c r="BC3" s="966"/>
      <c r="BD3" s="966"/>
      <c r="BE3" s="966"/>
      <c r="BF3" s="966"/>
      <c r="BG3" s="966"/>
      <c r="BH3" s="966"/>
      <c r="BI3" s="966"/>
      <c r="BJ3" s="966"/>
      <c r="BK3" s="966"/>
      <c r="BL3" s="966"/>
      <c r="BM3" s="966"/>
      <c r="BN3" s="966"/>
      <c r="BO3" s="966"/>
      <c r="BP3" s="966"/>
      <c r="BQ3" s="966"/>
      <c r="BR3" s="966"/>
      <c r="BS3" s="966"/>
      <c r="BT3" s="966"/>
      <c r="BU3" s="966"/>
      <c r="BV3" s="966"/>
      <c r="BW3" s="966"/>
      <c r="BX3" s="966"/>
      <c r="BY3" s="966"/>
      <c r="BZ3" s="966"/>
      <c r="CA3" s="966"/>
      <c r="CB3" s="966"/>
      <c r="CC3" s="966"/>
      <c r="CD3" s="966"/>
      <c r="CE3" s="966"/>
      <c r="CF3" s="966"/>
      <c r="CG3" s="966"/>
      <c r="CH3" s="966"/>
      <c r="CI3" s="966"/>
      <c r="CJ3" s="966"/>
      <c r="CK3" s="966"/>
      <c r="CL3" s="966"/>
      <c r="CM3" s="966"/>
      <c r="CN3" s="966"/>
      <c r="CO3" s="966"/>
      <c r="CP3" s="966"/>
      <c r="CQ3" s="966"/>
      <c r="CR3" s="966"/>
      <c r="CS3" s="966"/>
      <c r="CT3" s="966"/>
      <c r="CU3" s="966"/>
      <c r="CV3" s="966"/>
      <c r="CW3" s="966"/>
      <c r="CX3" s="966"/>
      <c r="CY3" s="966"/>
      <c r="CZ3" s="966"/>
      <c r="DA3" s="966"/>
      <c r="DB3" s="966"/>
      <c r="DC3" s="966"/>
      <c r="DD3" s="966"/>
      <c r="DE3" s="966"/>
      <c r="DF3" s="966"/>
      <c r="DG3" s="966"/>
      <c r="DH3" s="966"/>
      <c r="DI3" s="966"/>
      <c r="DJ3" s="966"/>
      <c r="DK3" s="966"/>
      <c r="DL3" s="966"/>
      <c r="DM3" s="966"/>
      <c r="DN3" s="966"/>
      <c r="DO3" s="966"/>
      <c r="DP3" s="966"/>
      <c r="DQ3" s="966"/>
      <c r="DR3" s="966"/>
      <c r="DS3" s="966"/>
      <c r="DT3" s="966"/>
      <c r="DU3" s="966"/>
      <c r="DV3" s="966"/>
      <c r="DW3" s="966"/>
      <c r="DX3" s="966"/>
      <c r="DY3" s="966"/>
      <c r="DZ3" s="966"/>
      <c r="EA3" s="966"/>
      <c r="EB3" s="966"/>
      <c r="EC3" s="966"/>
      <c r="ED3" s="966"/>
      <c r="EE3" s="966"/>
      <c r="EF3" s="966"/>
      <c r="EG3" s="966"/>
      <c r="EH3" s="966"/>
      <c r="EI3" s="966"/>
      <c r="EJ3" s="966"/>
      <c r="EK3" s="966"/>
      <c r="EL3" s="966"/>
      <c r="EM3" s="966"/>
      <c r="EN3" s="966"/>
      <c r="EO3" s="966"/>
      <c r="EP3" s="966"/>
      <c r="EQ3" s="966"/>
      <c r="ER3" s="966"/>
      <c r="ES3" s="966"/>
      <c r="ET3" s="966"/>
      <c r="EU3" s="966"/>
      <c r="EV3" s="966"/>
      <c r="EW3" s="966"/>
      <c r="EX3" s="966"/>
      <c r="EY3" s="966"/>
      <c r="EZ3" s="966"/>
      <c r="FA3" s="966"/>
      <c r="FB3" s="966"/>
      <c r="FC3" s="966"/>
      <c r="FD3" s="966"/>
      <c r="FE3" s="966"/>
      <c r="FF3" s="966"/>
      <c r="FG3" s="966"/>
      <c r="FH3" s="966"/>
      <c r="FI3" s="966"/>
      <c r="FJ3" s="966"/>
      <c r="FK3" s="966"/>
      <c r="FL3" s="966"/>
      <c r="FM3" s="966"/>
      <c r="FN3" s="966"/>
      <c r="FO3" s="966"/>
      <c r="FP3" s="966"/>
      <c r="FQ3" s="966"/>
      <c r="FR3" s="966"/>
      <c r="FS3" s="966"/>
      <c r="FT3" s="966"/>
      <c r="FU3" s="966"/>
      <c r="FV3" s="966"/>
      <c r="FW3" s="966"/>
      <c r="FX3" s="966"/>
      <c r="FY3" s="966"/>
      <c r="FZ3" s="966"/>
      <c r="GA3" s="966"/>
      <c r="GB3" s="966"/>
      <c r="GC3" s="966"/>
      <c r="GD3" s="966"/>
      <c r="GE3" s="966"/>
      <c r="GF3" s="966"/>
      <c r="GG3" s="966"/>
      <c r="GH3" s="966"/>
      <c r="GI3" s="966"/>
      <c r="GJ3" s="966"/>
      <c r="GK3" s="966"/>
      <c r="GL3" s="966"/>
      <c r="GM3" s="966"/>
      <c r="GN3" s="966"/>
    </row>
    <row r="4" ht="16.5" thickBot="1">
      <c r="A4" s="968"/>
    </row>
    <row r="5" spans="1:18" ht="18" thickTop="1">
      <c r="A5" s="635"/>
      <c r="B5" s="636"/>
      <c r="C5" s="637"/>
      <c r="D5" s="310"/>
      <c r="E5" s="306"/>
      <c r="F5" s="306"/>
      <c r="G5" s="306"/>
      <c r="H5" s="306"/>
      <c r="I5" s="306"/>
      <c r="J5" s="306"/>
      <c r="K5" s="306"/>
      <c r="L5" s="638"/>
      <c r="M5" s="306"/>
      <c r="N5" s="306"/>
      <c r="O5" s="306"/>
      <c r="P5" s="306"/>
      <c r="Q5" s="306"/>
      <c r="R5" s="639"/>
    </row>
    <row r="6" spans="1:18" ht="17.25">
      <c r="A6" s="640"/>
      <c r="B6" s="641"/>
      <c r="C6" s="642"/>
      <c r="D6" s="318"/>
      <c r="E6" s="317" t="s">
        <v>7</v>
      </c>
      <c r="F6" s="317"/>
      <c r="G6" s="317"/>
      <c r="H6" s="317"/>
      <c r="I6" s="317"/>
      <c r="J6" s="317"/>
      <c r="K6" s="317"/>
      <c r="L6" s="643" t="s">
        <v>70</v>
      </c>
      <c r="M6" s="317"/>
      <c r="N6" s="317"/>
      <c r="O6" s="317"/>
      <c r="P6" s="317"/>
      <c r="Q6" s="317"/>
      <c r="R6" s="644"/>
    </row>
    <row r="7" spans="1:18" ht="18" thickBot="1">
      <c r="A7" s="640"/>
      <c r="B7" s="641"/>
      <c r="C7" s="642"/>
      <c r="D7" s="318"/>
      <c r="E7" s="319"/>
      <c r="F7" s="319"/>
      <c r="G7" s="319"/>
      <c r="H7" s="319"/>
      <c r="I7" s="319"/>
      <c r="J7" s="319"/>
      <c r="K7" s="319"/>
      <c r="L7" s="335"/>
      <c r="M7" s="319"/>
      <c r="N7" s="319"/>
      <c r="O7" s="319"/>
      <c r="P7" s="319"/>
      <c r="Q7" s="319"/>
      <c r="R7" s="645"/>
    </row>
    <row r="8" spans="1:18" ht="17.25">
      <c r="A8" s="640"/>
      <c r="B8" s="641"/>
      <c r="C8" s="642"/>
      <c r="D8" s="343" t="s">
        <v>2</v>
      </c>
      <c r="E8" s="326"/>
      <c r="F8" s="324"/>
      <c r="G8" s="325"/>
      <c r="H8" s="326"/>
      <c r="I8" s="324"/>
      <c r="J8" s="325"/>
      <c r="K8" s="326"/>
      <c r="L8" s="326" t="s">
        <v>67</v>
      </c>
      <c r="M8" s="646" t="s">
        <v>67</v>
      </c>
      <c r="N8" s="646" t="s">
        <v>67</v>
      </c>
      <c r="O8" s="646" t="s">
        <v>67</v>
      </c>
      <c r="P8" s="646" t="s">
        <v>67</v>
      </c>
      <c r="Q8" s="324"/>
      <c r="R8" s="644"/>
    </row>
    <row r="9" spans="1:18" ht="17.25">
      <c r="A9" s="640"/>
      <c r="B9" s="641" t="s">
        <v>102</v>
      </c>
      <c r="C9" s="642"/>
      <c r="D9" s="345" t="s">
        <v>7</v>
      </c>
      <c r="E9" s="330" t="s">
        <v>3</v>
      </c>
      <c r="F9" s="328"/>
      <c r="G9" s="329"/>
      <c r="H9" s="330" t="s">
        <v>15</v>
      </c>
      <c r="I9" s="328"/>
      <c r="J9" s="329"/>
      <c r="K9" s="330" t="s">
        <v>71</v>
      </c>
      <c r="L9" s="330" t="s">
        <v>72</v>
      </c>
      <c r="M9" s="647" t="s">
        <v>73</v>
      </c>
      <c r="N9" s="647" t="s">
        <v>74</v>
      </c>
      <c r="O9" s="647" t="s">
        <v>75</v>
      </c>
      <c r="P9" s="647" t="s">
        <v>76</v>
      </c>
      <c r="Q9" s="328" t="s">
        <v>137</v>
      </c>
      <c r="R9" s="648"/>
    </row>
    <row r="10" spans="1:18" ht="18" thickBot="1">
      <c r="A10" s="640"/>
      <c r="B10" s="641"/>
      <c r="C10" s="642"/>
      <c r="D10" s="345" t="s">
        <v>13</v>
      </c>
      <c r="E10" s="335"/>
      <c r="F10" s="333"/>
      <c r="G10" s="334"/>
      <c r="H10" s="335"/>
      <c r="I10" s="333"/>
      <c r="J10" s="334"/>
      <c r="K10" s="649"/>
      <c r="L10" s="649" t="s">
        <v>67</v>
      </c>
      <c r="M10" s="650" t="s">
        <v>67</v>
      </c>
      <c r="N10" s="650" t="s">
        <v>67</v>
      </c>
      <c r="O10" s="650" t="s">
        <v>67</v>
      </c>
      <c r="P10" s="650" t="s">
        <v>67</v>
      </c>
      <c r="Q10" s="319"/>
      <c r="R10" s="644"/>
    </row>
    <row r="11" spans="1:18" ht="17.25">
      <c r="A11" s="651"/>
      <c r="B11" s="652"/>
      <c r="C11" s="642"/>
      <c r="D11" s="345" t="s">
        <v>58</v>
      </c>
      <c r="E11" s="339"/>
      <c r="F11" s="337"/>
      <c r="G11" s="338"/>
      <c r="H11" s="339"/>
      <c r="I11" s="337"/>
      <c r="J11" s="338"/>
      <c r="K11" s="653"/>
      <c r="L11" s="653"/>
      <c r="M11" s="337"/>
      <c r="N11" s="337"/>
      <c r="O11" s="337"/>
      <c r="P11" s="337"/>
      <c r="Q11" s="654"/>
      <c r="R11" s="644"/>
    </row>
    <row r="12" spans="1:18" ht="17.25">
      <c r="A12" s="640"/>
      <c r="B12" s="641"/>
      <c r="C12" s="642"/>
      <c r="D12" s="345"/>
      <c r="E12" s="311" t="s">
        <v>7</v>
      </c>
      <c r="F12" s="350" t="s">
        <v>8</v>
      </c>
      <c r="G12" s="351" t="s">
        <v>9</v>
      </c>
      <c r="H12" s="311" t="s">
        <v>7</v>
      </c>
      <c r="I12" s="350" t="s">
        <v>8</v>
      </c>
      <c r="J12" s="351" t="s">
        <v>9</v>
      </c>
      <c r="K12" s="352"/>
      <c r="L12" s="352"/>
      <c r="M12" s="350"/>
      <c r="N12" s="350"/>
      <c r="O12" s="350"/>
      <c r="P12" s="350"/>
      <c r="Q12" s="313"/>
      <c r="R12" s="644"/>
    </row>
    <row r="13" spans="1:18" ht="17.25">
      <c r="A13" s="640"/>
      <c r="B13" s="641"/>
      <c r="C13" s="642"/>
      <c r="D13" s="345"/>
      <c r="E13" s="311" t="s">
        <v>13</v>
      </c>
      <c r="F13" s="350" t="s">
        <v>11</v>
      </c>
      <c r="G13" s="351" t="s">
        <v>12</v>
      </c>
      <c r="H13" s="311" t="s">
        <v>13</v>
      </c>
      <c r="I13" s="350" t="s">
        <v>11</v>
      </c>
      <c r="J13" s="351" t="s">
        <v>12</v>
      </c>
      <c r="K13" s="352"/>
      <c r="L13" s="352"/>
      <c r="M13" s="350"/>
      <c r="N13" s="350"/>
      <c r="O13" s="350"/>
      <c r="P13" s="350"/>
      <c r="Q13" s="313"/>
      <c r="R13" s="644"/>
    </row>
    <row r="14" spans="1:18" ht="17.25">
      <c r="A14" s="640"/>
      <c r="B14" s="641"/>
      <c r="C14" s="642"/>
      <c r="D14" s="343"/>
      <c r="E14" s="352" t="s">
        <v>58</v>
      </c>
      <c r="F14" s="350" t="s">
        <v>13</v>
      </c>
      <c r="G14" s="351" t="s">
        <v>13</v>
      </c>
      <c r="H14" s="352" t="s">
        <v>58</v>
      </c>
      <c r="I14" s="350" t="s">
        <v>13</v>
      </c>
      <c r="J14" s="351" t="s">
        <v>13</v>
      </c>
      <c r="K14" s="352"/>
      <c r="L14" s="352"/>
      <c r="M14" s="350"/>
      <c r="N14" s="350"/>
      <c r="O14" s="350"/>
      <c r="P14" s="350"/>
      <c r="Q14" s="313"/>
      <c r="R14" s="644"/>
    </row>
    <row r="15" spans="1:18" ht="17.25">
      <c r="A15" s="640"/>
      <c r="B15" s="641"/>
      <c r="C15" s="642"/>
      <c r="D15" s="655"/>
      <c r="E15" s="352"/>
      <c r="F15" s="350"/>
      <c r="G15" s="351"/>
      <c r="H15" s="352"/>
      <c r="I15" s="350"/>
      <c r="J15" s="351"/>
      <c r="K15" s="656"/>
      <c r="L15" s="352"/>
      <c r="M15" s="350"/>
      <c r="N15" s="350"/>
      <c r="O15" s="350"/>
      <c r="P15" s="350"/>
      <c r="Q15" s="313"/>
      <c r="R15" s="644"/>
    </row>
    <row r="16" spans="1:18" ht="17.25">
      <c r="A16" s="640"/>
      <c r="B16" s="641"/>
      <c r="C16" s="642"/>
      <c r="D16" s="655"/>
      <c r="E16" s="352"/>
      <c r="F16" s="350"/>
      <c r="G16" s="351"/>
      <c r="H16" s="311"/>
      <c r="I16" s="350"/>
      <c r="J16" s="351"/>
      <c r="K16" s="352"/>
      <c r="L16" s="352"/>
      <c r="M16" s="350"/>
      <c r="N16" s="350"/>
      <c r="O16" s="350"/>
      <c r="P16" s="350"/>
      <c r="Q16" s="313"/>
      <c r="R16" s="644"/>
    </row>
    <row r="17" spans="1:18" s="969" customFormat="1" ht="18" thickBot="1">
      <c r="A17" s="657"/>
      <c r="B17" s="658">
        <v>-1</v>
      </c>
      <c r="C17" s="659"/>
      <c r="D17" s="359">
        <f>+B17-1</f>
        <v>-2</v>
      </c>
      <c r="E17" s="64">
        <f aca="true" t="shared" si="0" ref="E17:Q17">+D17-1</f>
        <v>-3</v>
      </c>
      <c r="F17" s="65">
        <f t="shared" si="0"/>
        <v>-4</v>
      </c>
      <c r="G17" s="66">
        <f t="shared" si="0"/>
        <v>-5</v>
      </c>
      <c r="H17" s="64">
        <f t="shared" si="0"/>
        <v>-6</v>
      </c>
      <c r="I17" s="65">
        <f t="shared" si="0"/>
        <v>-7</v>
      </c>
      <c r="J17" s="66">
        <f t="shared" si="0"/>
        <v>-8</v>
      </c>
      <c r="K17" s="191">
        <f t="shared" si="0"/>
        <v>-9</v>
      </c>
      <c r="L17" s="660">
        <f t="shared" si="0"/>
        <v>-10</v>
      </c>
      <c r="M17" s="65">
        <f t="shared" si="0"/>
        <v>-11</v>
      </c>
      <c r="N17" s="65">
        <f t="shared" si="0"/>
        <v>-12</v>
      </c>
      <c r="O17" s="65">
        <f t="shared" si="0"/>
        <v>-13</v>
      </c>
      <c r="P17" s="65">
        <f t="shared" si="0"/>
        <v>-14</v>
      </c>
      <c r="Q17" s="357">
        <f t="shared" si="0"/>
        <v>-15</v>
      </c>
      <c r="R17" s="661"/>
    </row>
    <row r="18" spans="1:18" ht="18.75">
      <c r="A18" s="662"/>
      <c r="B18" s="663"/>
      <c r="C18" s="664"/>
      <c r="D18" s="665" t="s">
        <v>6</v>
      </c>
      <c r="E18" s="666" t="s">
        <v>6</v>
      </c>
      <c r="F18" s="667" t="s">
        <v>6</v>
      </c>
      <c r="G18" s="668" t="s">
        <v>6</v>
      </c>
      <c r="H18" s="195" t="s">
        <v>6</v>
      </c>
      <c r="I18" s="196" t="s">
        <v>6</v>
      </c>
      <c r="J18" s="216" t="s">
        <v>6</v>
      </c>
      <c r="K18" s="218" t="s">
        <v>6</v>
      </c>
      <c r="L18" s="669" t="s">
        <v>6</v>
      </c>
      <c r="M18" s="196" t="s">
        <v>6</v>
      </c>
      <c r="N18" s="196" t="s">
        <v>6</v>
      </c>
      <c r="O18" s="196" t="s">
        <v>6</v>
      </c>
      <c r="P18" s="196" t="s">
        <v>6</v>
      </c>
      <c r="Q18" s="217" t="s">
        <v>6</v>
      </c>
      <c r="R18" s="670"/>
    </row>
    <row r="19" spans="1:18" ht="20.25">
      <c r="A19" s="671" t="s">
        <v>156</v>
      </c>
      <c r="B19" s="672"/>
      <c r="C19" s="673"/>
      <c r="D19" s="674"/>
      <c r="E19" s="675"/>
      <c r="F19" s="676"/>
      <c r="G19" s="677"/>
      <c r="H19" s="195"/>
      <c r="I19" s="196"/>
      <c r="J19" s="216"/>
      <c r="K19" s="218"/>
      <c r="L19" s="669"/>
      <c r="M19" s="196"/>
      <c r="N19" s="196"/>
      <c r="O19" s="196"/>
      <c r="P19" s="196"/>
      <c r="Q19" s="217"/>
      <c r="R19" s="644"/>
    </row>
    <row r="20" spans="1:19" ht="18">
      <c r="A20" s="678"/>
      <c r="B20" s="679"/>
      <c r="C20" s="680"/>
      <c r="D20" s="681"/>
      <c r="E20" s="682"/>
      <c r="F20" s="683"/>
      <c r="G20" s="684"/>
      <c r="H20" s="682"/>
      <c r="I20" s="683"/>
      <c r="J20" s="684"/>
      <c r="K20" s="685"/>
      <c r="L20" s="686"/>
      <c r="M20" s="683"/>
      <c r="N20" s="683"/>
      <c r="O20" s="683"/>
      <c r="P20" s="683"/>
      <c r="Q20" s="687"/>
      <c r="R20" s="681"/>
      <c r="S20" s="970"/>
    </row>
    <row r="21" spans="1:19" s="972" customFormat="1" ht="18">
      <c r="A21" s="688"/>
      <c r="B21" s="689" t="s">
        <v>158</v>
      </c>
      <c r="C21" s="690"/>
      <c r="D21" s="691">
        <f aca="true" t="shared" si="1" ref="D21:Q21">SUM(D22:D25)</f>
        <v>0</v>
      </c>
      <c r="E21" s="692">
        <f t="shared" si="1"/>
        <v>0</v>
      </c>
      <c r="F21" s="693">
        <f t="shared" si="1"/>
        <v>0</v>
      </c>
      <c r="G21" s="694">
        <f t="shared" si="1"/>
        <v>0</v>
      </c>
      <c r="H21" s="692">
        <f t="shared" si="1"/>
        <v>0</v>
      </c>
      <c r="I21" s="693">
        <f t="shared" si="1"/>
        <v>0</v>
      </c>
      <c r="J21" s="694">
        <f t="shared" si="1"/>
        <v>0</v>
      </c>
      <c r="K21" s="690">
        <f t="shared" si="1"/>
        <v>0</v>
      </c>
      <c r="L21" s="688">
        <f t="shared" si="1"/>
        <v>0</v>
      </c>
      <c r="M21" s="695">
        <f t="shared" si="1"/>
        <v>0</v>
      </c>
      <c r="N21" s="695">
        <f t="shared" si="1"/>
        <v>0</v>
      </c>
      <c r="O21" s="695">
        <f t="shared" si="1"/>
        <v>0</v>
      </c>
      <c r="P21" s="695">
        <f t="shared" si="1"/>
        <v>0</v>
      </c>
      <c r="Q21" s="696">
        <f t="shared" si="1"/>
        <v>0</v>
      </c>
      <c r="R21" s="691"/>
      <c r="S21" s="971"/>
    </row>
    <row r="22" spans="1:19" s="976" customFormat="1" ht="18">
      <c r="A22" s="688"/>
      <c r="B22" s="710" t="s">
        <v>77</v>
      </c>
      <c r="C22" s="973"/>
      <c r="D22" s="556">
        <v>0</v>
      </c>
      <c r="E22" s="698"/>
      <c r="F22" s="699"/>
      <c r="G22" s="700"/>
      <c r="H22" s="698"/>
      <c r="I22" s="699"/>
      <c r="J22" s="700"/>
      <c r="K22" s="701"/>
      <c r="L22" s="702"/>
      <c r="M22" s="699"/>
      <c r="N22" s="699"/>
      <c r="O22" s="699"/>
      <c r="P22" s="699"/>
      <c r="Q22" s="703"/>
      <c r="R22" s="974"/>
      <c r="S22" s="975"/>
    </row>
    <row r="23" spans="1:19" s="976" customFormat="1" ht="18">
      <c r="A23" s="688"/>
      <c r="B23" s="710" t="s">
        <v>78</v>
      </c>
      <c r="C23" s="973"/>
      <c r="D23" s="557">
        <v>0</v>
      </c>
      <c r="E23" s="704"/>
      <c r="F23" s="705"/>
      <c r="G23" s="706"/>
      <c r="H23" s="704"/>
      <c r="I23" s="705"/>
      <c r="J23" s="706"/>
      <c r="K23" s="707"/>
      <c r="L23" s="708"/>
      <c r="M23" s="705"/>
      <c r="N23" s="705"/>
      <c r="O23" s="705"/>
      <c r="P23" s="705"/>
      <c r="Q23" s="709"/>
      <c r="R23" s="974"/>
      <c r="S23" s="975"/>
    </row>
    <row r="24" spans="1:19" s="976" customFormat="1" ht="18">
      <c r="A24" s="688"/>
      <c r="B24" s="710" t="s">
        <v>79</v>
      </c>
      <c r="C24" s="973"/>
      <c r="D24" s="557">
        <v>0</v>
      </c>
      <c r="E24" s="558">
        <v>0</v>
      </c>
      <c r="F24" s="559">
        <v>0</v>
      </c>
      <c r="G24" s="711">
        <f>SUM(E24:F24)</f>
        <v>0</v>
      </c>
      <c r="H24" s="558">
        <v>0</v>
      </c>
      <c r="I24" s="559">
        <v>0</v>
      </c>
      <c r="J24" s="711">
        <f>SUM(H24:I24)</f>
        <v>0</v>
      </c>
      <c r="K24" s="555">
        <v>0</v>
      </c>
      <c r="L24" s="560">
        <v>0</v>
      </c>
      <c r="M24" s="559">
        <v>0</v>
      </c>
      <c r="N24" s="559">
        <v>0</v>
      </c>
      <c r="O24" s="559">
        <v>0</v>
      </c>
      <c r="P24" s="559">
        <v>0</v>
      </c>
      <c r="Q24" s="561">
        <v>0</v>
      </c>
      <c r="R24" s="974"/>
      <c r="S24" s="975"/>
    </row>
    <row r="25" spans="1:39" s="976" customFormat="1" ht="18">
      <c r="A25" s="688"/>
      <c r="B25" s="710" t="s">
        <v>80</v>
      </c>
      <c r="C25" s="973"/>
      <c r="D25" s="562">
        <v>0</v>
      </c>
      <c r="E25" s="563">
        <v>0</v>
      </c>
      <c r="F25" s="564">
        <v>0</v>
      </c>
      <c r="G25" s="712">
        <f>SUM(E25:F25)</f>
        <v>0</v>
      </c>
      <c r="H25" s="563">
        <v>0</v>
      </c>
      <c r="I25" s="564">
        <v>0</v>
      </c>
      <c r="J25" s="712">
        <f>SUM(H25:I25)</f>
        <v>0</v>
      </c>
      <c r="K25" s="565">
        <v>0</v>
      </c>
      <c r="L25" s="566">
        <v>0</v>
      </c>
      <c r="M25" s="564">
        <v>0</v>
      </c>
      <c r="N25" s="564">
        <v>0</v>
      </c>
      <c r="O25" s="564">
        <v>0</v>
      </c>
      <c r="P25" s="564">
        <v>0</v>
      </c>
      <c r="Q25" s="567">
        <v>0</v>
      </c>
      <c r="R25" s="974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  <c r="AF25" s="975"/>
      <c r="AG25" s="975"/>
      <c r="AH25" s="975"/>
      <c r="AI25" s="975"/>
      <c r="AJ25" s="975"/>
      <c r="AK25" s="975"/>
      <c r="AL25" s="975"/>
      <c r="AM25" s="975"/>
    </row>
    <row r="26" spans="1:39" s="976" customFormat="1" ht="18">
      <c r="A26" s="688"/>
      <c r="B26" s="713"/>
      <c r="C26" s="980"/>
      <c r="D26" s="974"/>
      <c r="E26" s="977"/>
      <c r="F26" s="978"/>
      <c r="G26" s="711"/>
      <c r="H26" s="977"/>
      <c r="I26" s="978"/>
      <c r="J26" s="711"/>
      <c r="K26" s="973"/>
      <c r="L26" s="979"/>
      <c r="M26" s="978"/>
      <c r="N26" s="978"/>
      <c r="O26" s="978"/>
      <c r="P26" s="978"/>
      <c r="Q26" s="980"/>
      <c r="R26" s="974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75"/>
      <c r="AK26" s="975"/>
      <c r="AL26" s="975"/>
      <c r="AM26" s="975"/>
    </row>
    <row r="27" spans="1:39" s="972" customFormat="1" ht="18">
      <c r="A27" s="688"/>
      <c r="B27" s="689" t="s">
        <v>131</v>
      </c>
      <c r="C27" s="690"/>
      <c r="D27" s="691">
        <f aca="true" t="shared" si="2" ref="D27:Q27">SUM(D28:D31)</f>
        <v>53616</v>
      </c>
      <c r="E27" s="692">
        <f t="shared" si="2"/>
        <v>27223</v>
      </c>
      <c r="F27" s="693">
        <f t="shared" si="2"/>
        <v>0</v>
      </c>
      <c r="G27" s="694">
        <f t="shared" si="2"/>
        <v>27223</v>
      </c>
      <c r="H27" s="692">
        <f t="shared" si="2"/>
        <v>7248</v>
      </c>
      <c r="I27" s="693">
        <f t="shared" si="2"/>
        <v>0</v>
      </c>
      <c r="J27" s="694">
        <f t="shared" si="2"/>
        <v>7248</v>
      </c>
      <c r="K27" s="690">
        <f t="shared" si="2"/>
        <v>2607</v>
      </c>
      <c r="L27" s="688">
        <f t="shared" si="2"/>
        <v>12478</v>
      </c>
      <c r="M27" s="695">
        <f t="shared" si="2"/>
        <v>21676</v>
      </c>
      <c r="N27" s="695">
        <f t="shared" si="2"/>
        <v>23843</v>
      </c>
      <c r="O27" s="695">
        <f t="shared" si="2"/>
        <v>26705</v>
      </c>
      <c r="P27" s="695">
        <f t="shared" si="2"/>
        <v>30444</v>
      </c>
      <c r="Q27" s="696">
        <f t="shared" si="2"/>
        <v>35314</v>
      </c>
      <c r="R27" s="691"/>
      <c r="S27" s="971"/>
      <c r="T27" s="971"/>
      <c r="U27" s="971"/>
      <c r="V27" s="971"/>
      <c r="W27" s="971"/>
      <c r="X27" s="971"/>
      <c r="Y27" s="971"/>
      <c r="Z27" s="971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971"/>
      <c r="AL27" s="971"/>
      <c r="AM27" s="971"/>
    </row>
    <row r="28" spans="1:39" s="976" customFormat="1" ht="18">
      <c r="A28" s="979"/>
      <c r="B28" s="710" t="s">
        <v>77</v>
      </c>
      <c r="C28" s="973"/>
      <c r="D28" s="556">
        <v>45246</v>
      </c>
      <c r="E28" s="568">
        <v>22973</v>
      </c>
      <c r="F28" s="569">
        <v>0</v>
      </c>
      <c r="G28" s="714">
        <f>SUM(E28:F28)</f>
        <v>22973</v>
      </c>
      <c r="H28" s="568">
        <v>6269</v>
      </c>
      <c r="I28" s="569">
        <v>0</v>
      </c>
      <c r="J28" s="714">
        <f>SUM(H28:I28)</f>
        <v>6269</v>
      </c>
      <c r="K28" s="570">
        <v>2200</v>
      </c>
      <c r="L28" s="571">
        <v>10530</v>
      </c>
      <c r="M28" s="569">
        <v>18292</v>
      </c>
      <c r="N28" s="569">
        <v>20121</v>
      </c>
      <c r="O28" s="569">
        <v>22536</v>
      </c>
      <c r="P28" s="569">
        <v>25691</v>
      </c>
      <c r="Q28" s="572">
        <v>29801</v>
      </c>
      <c r="R28" s="974"/>
      <c r="S28" s="975"/>
      <c r="T28" s="975"/>
      <c r="U28" s="975"/>
      <c r="V28" s="975"/>
      <c r="W28" s="975"/>
      <c r="X28" s="975"/>
      <c r="Y28" s="975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75"/>
      <c r="AK28" s="975"/>
      <c r="AL28" s="975"/>
      <c r="AM28" s="975"/>
    </row>
    <row r="29" spans="1:39" s="976" customFormat="1" ht="18">
      <c r="A29" s="979"/>
      <c r="B29" s="710" t="s">
        <v>78</v>
      </c>
      <c r="C29" s="973"/>
      <c r="D29" s="557">
        <v>8370</v>
      </c>
      <c r="E29" s="558">
        <v>4250</v>
      </c>
      <c r="F29" s="559">
        <v>0</v>
      </c>
      <c r="G29" s="711">
        <f>SUM(E29:F29)</f>
        <v>4250</v>
      </c>
      <c r="H29" s="558">
        <v>979</v>
      </c>
      <c r="I29" s="559">
        <v>0</v>
      </c>
      <c r="J29" s="711">
        <f>SUM(H29:I29)</f>
        <v>979</v>
      </c>
      <c r="K29" s="555">
        <v>407</v>
      </c>
      <c r="L29" s="560">
        <v>1948</v>
      </c>
      <c r="M29" s="559">
        <v>3384</v>
      </c>
      <c r="N29" s="559">
        <v>3722</v>
      </c>
      <c r="O29" s="559">
        <v>4169</v>
      </c>
      <c r="P29" s="559">
        <v>4753</v>
      </c>
      <c r="Q29" s="561">
        <v>5513</v>
      </c>
      <c r="R29" s="974"/>
      <c r="S29" s="975"/>
      <c r="T29" s="975"/>
      <c r="U29" s="975"/>
      <c r="V29" s="975"/>
      <c r="W29" s="975"/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  <c r="AK29" s="975"/>
      <c r="AL29" s="975"/>
      <c r="AM29" s="975"/>
    </row>
    <row r="30" spans="1:39" s="976" customFormat="1" ht="18">
      <c r="A30" s="979"/>
      <c r="B30" s="710" t="s">
        <v>79</v>
      </c>
      <c r="C30" s="973"/>
      <c r="D30" s="557">
        <v>0</v>
      </c>
      <c r="E30" s="558">
        <v>0</v>
      </c>
      <c r="F30" s="559">
        <v>0</v>
      </c>
      <c r="G30" s="711">
        <f>SUM(E30:F30)</f>
        <v>0</v>
      </c>
      <c r="H30" s="558">
        <v>0</v>
      </c>
      <c r="I30" s="559">
        <v>0</v>
      </c>
      <c r="J30" s="711">
        <f>SUM(H30:I30)</f>
        <v>0</v>
      </c>
      <c r="K30" s="555">
        <v>0</v>
      </c>
      <c r="L30" s="560">
        <v>0</v>
      </c>
      <c r="M30" s="559">
        <v>0</v>
      </c>
      <c r="N30" s="559">
        <v>0</v>
      </c>
      <c r="O30" s="559">
        <v>0</v>
      </c>
      <c r="P30" s="559">
        <v>0</v>
      </c>
      <c r="Q30" s="561">
        <v>0</v>
      </c>
      <c r="R30" s="974"/>
      <c r="S30" s="975"/>
      <c r="T30" s="975"/>
      <c r="U30" s="975"/>
      <c r="V30" s="975"/>
      <c r="W30" s="975"/>
      <c r="X30" s="975"/>
      <c r="Y30" s="975"/>
      <c r="Z30" s="975"/>
      <c r="AA30" s="975"/>
      <c r="AB30" s="975"/>
      <c r="AC30" s="975"/>
      <c r="AD30" s="975"/>
      <c r="AE30" s="975"/>
      <c r="AF30" s="975"/>
      <c r="AG30" s="975"/>
      <c r="AH30" s="975"/>
      <c r="AI30" s="975"/>
      <c r="AJ30" s="975"/>
      <c r="AK30" s="975"/>
      <c r="AL30" s="975"/>
      <c r="AM30" s="975"/>
    </row>
    <row r="31" spans="1:39" s="976" customFormat="1" ht="18">
      <c r="A31" s="981"/>
      <c r="B31" s="710" t="s">
        <v>80</v>
      </c>
      <c r="C31" s="973"/>
      <c r="D31" s="562">
        <v>0</v>
      </c>
      <c r="E31" s="563">
        <v>0</v>
      </c>
      <c r="F31" s="564">
        <v>0</v>
      </c>
      <c r="G31" s="712">
        <f>SUM(E31:F31)</f>
        <v>0</v>
      </c>
      <c r="H31" s="563">
        <v>0</v>
      </c>
      <c r="I31" s="564">
        <v>0</v>
      </c>
      <c r="J31" s="712">
        <f>SUM(H31:I31)</f>
        <v>0</v>
      </c>
      <c r="K31" s="565">
        <v>0</v>
      </c>
      <c r="L31" s="566">
        <v>0</v>
      </c>
      <c r="M31" s="564">
        <v>0</v>
      </c>
      <c r="N31" s="564">
        <v>0</v>
      </c>
      <c r="O31" s="564">
        <v>0</v>
      </c>
      <c r="P31" s="564">
        <v>0</v>
      </c>
      <c r="Q31" s="567">
        <v>0</v>
      </c>
      <c r="R31" s="974"/>
      <c r="S31" s="975"/>
      <c r="T31" s="975"/>
      <c r="U31" s="975"/>
      <c r="V31" s="975"/>
      <c r="W31" s="975"/>
      <c r="X31" s="975"/>
      <c r="Y31" s="975"/>
      <c r="Z31" s="975"/>
      <c r="AA31" s="975"/>
      <c r="AB31" s="975"/>
      <c r="AC31" s="975"/>
      <c r="AD31" s="975"/>
      <c r="AE31" s="975"/>
      <c r="AF31" s="975"/>
      <c r="AG31" s="975"/>
      <c r="AH31" s="975"/>
      <c r="AI31" s="975"/>
      <c r="AJ31" s="975"/>
      <c r="AK31" s="975"/>
      <c r="AL31" s="975"/>
      <c r="AM31" s="975"/>
    </row>
    <row r="32" spans="1:39" s="976" customFormat="1" ht="18">
      <c r="A32" s="979"/>
      <c r="B32" s="713"/>
      <c r="C32" s="973"/>
      <c r="D32" s="974"/>
      <c r="E32" s="977"/>
      <c r="F32" s="978"/>
      <c r="G32" s="711"/>
      <c r="H32" s="977"/>
      <c r="I32" s="978"/>
      <c r="J32" s="711"/>
      <c r="K32" s="973"/>
      <c r="L32" s="979"/>
      <c r="M32" s="978"/>
      <c r="N32" s="978"/>
      <c r="O32" s="978"/>
      <c r="P32" s="978"/>
      <c r="Q32" s="980"/>
      <c r="R32" s="974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975"/>
      <c r="AH32" s="975"/>
      <c r="AI32" s="975"/>
      <c r="AJ32" s="975"/>
      <c r="AK32" s="975"/>
      <c r="AL32" s="975"/>
      <c r="AM32" s="975"/>
    </row>
    <row r="33" spans="1:39" s="976" customFormat="1" ht="18">
      <c r="A33" s="688"/>
      <c r="B33" s="689" t="s">
        <v>132</v>
      </c>
      <c r="C33" s="690"/>
      <c r="D33" s="691">
        <f aca="true" t="shared" si="3" ref="D33:Q33">SUM(D34:D37)</f>
        <v>0</v>
      </c>
      <c r="E33" s="692">
        <f t="shared" si="3"/>
        <v>28538</v>
      </c>
      <c r="F33" s="693">
        <f t="shared" si="3"/>
        <v>0</v>
      </c>
      <c r="G33" s="694">
        <f t="shared" si="3"/>
        <v>28538</v>
      </c>
      <c r="H33" s="692">
        <f t="shared" si="3"/>
        <v>60644</v>
      </c>
      <c r="I33" s="693">
        <f t="shared" si="3"/>
        <v>0</v>
      </c>
      <c r="J33" s="694">
        <f t="shared" si="3"/>
        <v>60644</v>
      </c>
      <c r="K33" s="690">
        <f t="shared" si="3"/>
        <v>67596</v>
      </c>
      <c r="L33" s="688">
        <f t="shared" si="3"/>
        <v>109470</v>
      </c>
      <c r="M33" s="695">
        <f t="shared" si="3"/>
        <v>112465</v>
      </c>
      <c r="N33" s="695">
        <f t="shared" si="3"/>
        <v>126395</v>
      </c>
      <c r="O33" s="695">
        <f t="shared" si="3"/>
        <v>144566</v>
      </c>
      <c r="P33" s="695">
        <f t="shared" si="3"/>
        <v>168231</v>
      </c>
      <c r="Q33" s="696">
        <f t="shared" si="3"/>
        <v>199123</v>
      </c>
      <c r="R33" s="691"/>
      <c r="S33" s="975"/>
      <c r="T33" s="975"/>
      <c r="U33" s="975"/>
      <c r="V33" s="975"/>
      <c r="W33" s="975"/>
      <c r="X33" s="975"/>
      <c r="Y33" s="975"/>
      <c r="Z33" s="975"/>
      <c r="AA33" s="975"/>
      <c r="AB33" s="975"/>
      <c r="AC33" s="975"/>
      <c r="AD33" s="975"/>
      <c r="AE33" s="975"/>
      <c r="AF33" s="975"/>
      <c r="AG33" s="975"/>
      <c r="AH33" s="975"/>
      <c r="AI33" s="975"/>
      <c r="AJ33" s="975"/>
      <c r="AK33" s="975"/>
      <c r="AL33" s="975"/>
      <c r="AM33" s="975"/>
    </row>
    <row r="34" spans="1:39" s="976" customFormat="1" ht="18">
      <c r="A34" s="979"/>
      <c r="B34" s="710" t="s">
        <v>77</v>
      </c>
      <c r="C34" s="973"/>
      <c r="D34" s="556">
        <v>0</v>
      </c>
      <c r="E34" s="568">
        <v>24083</v>
      </c>
      <c r="F34" s="569">
        <v>0</v>
      </c>
      <c r="G34" s="714">
        <f>SUM(E34:F34)</f>
        <v>24083</v>
      </c>
      <c r="H34" s="568">
        <v>51176</v>
      </c>
      <c r="I34" s="569">
        <v>0</v>
      </c>
      <c r="J34" s="714">
        <f>SUM(H34:I34)</f>
        <v>51176</v>
      </c>
      <c r="K34" s="570">
        <v>57043</v>
      </c>
      <c r="L34" s="571">
        <v>92380</v>
      </c>
      <c r="M34" s="569">
        <v>94909</v>
      </c>
      <c r="N34" s="569">
        <v>106662</v>
      </c>
      <c r="O34" s="569">
        <v>121997</v>
      </c>
      <c r="P34" s="569">
        <v>141967</v>
      </c>
      <c r="Q34" s="572">
        <v>168036</v>
      </c>
      <c r="R34" s="974"/>
      <c r="S34" s="975"/>
      <c r="T34" s="975"/>
      <c r="U34" s="975"/>
      <c r="V34" s="975"/>
      <c r="W34" s="975"/>
      <c r="X34" s="975"/>
      <c r="Y34" s="975"/>
      <c r="Z34" s="975"/>
      <c r="AA34" s="975"/>
      <c r="AB34" s="975"/>
      <c r="AC34" s="975"/>
      <c r="AD34" s="975"/>
      <c r="AE34" s="975"/>
      <c r="AF34" s="975"/>
      <c r="AG34" s="975"/>
      <c r="AH34" s="975"/>
      <c r="AI34" s="975"/>
      <c r="AJ34" s="975"/>
      <c r="AK34" s="975"/>
      <c r="AL34" s="975"/>
      <c r="AM34" s="975"/>
    </row>
    <row r="35" spans="1:39" s="976" customFormat="1" ht="18">
      <c r="A35" s="979"/>
      <c r="B35" s="710" t="s">
        <v>78</v>
      </c>
      <c r="C35" s="973"/>
      <c r="D35" s="557">
        <v>0</v>
      </c>
      <c r="E35" s="558">
        <v>4455</v>
      </c>
      <c r="F35" s="559">
        <v>0</v>
      </c>
      <c r="G35" s="711">
        <f>SUM(E35:F35)</f>
        <v>4455</v>
      </c>
      <c r="H35" s="558">
        <v>9468</v>
      </c>
      <c r="I35" s="559">
        <v>0</v>
      </c>
      <c r="J35" s="711">
        <f>SUM(H35:I35)</f>
        <v>9468</v>
      </c>
      <c r="K35" s="555">
        <v>10553</v>
      </c>
      <c r="L35" s="560">
        <v>17090</v>
      </c>
      <c r="M35" s="559">
        <v>17556</v>
      </c>
      <c r="N35" s="559">
        <v>19733</v>
      </c>
      <c r="O35" s="559">
        <v>22569</v>
      </c>
      <c r="P35" s="559">
        <v>26264</v>
      </c>
      <c r="Q35" s="561">
        <v>31087</v>
      </c>
      <c r="R35" s="974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975"/>
      <c r="AG35" s="975"/>
      <c r="AH35" s="975"/>
      <c r="AI35" s="975"/>
      <c r="AJ35" s="975"/>
      <c r="AK35" s="975"/>
      <c r="AL35" s="975"/>
      <c r="AM35" s="975"/>
    </row>
    <row r="36" spans="1:39" s="976" customFormat="1" ht="18">
      <c r="A36" s="979"/>
      <c r="B36" s="710" t="s">
        <v>79</v>
      </c>
      <c r="C36" s="973"/>
      <c r="D36" s="557">
        <v>0</v>
      </c>
      <c r="E36" s="558">
        <v>0</v>
      </c>
      <c r="F36" s="559">
        <v>0</v>
      </c>
      <c r="G36" s="711">
        <f>SUM(E36:F36)</f>
        <v>0</v>
      </c>
      <c r="H36" s="558">
        <v>0</v>
      </c>
      <c r="I36" s="559">
        <v>0</v>
      </c>
      <c r="J36" s="711">
        <f>SUM(H36:I36)</f>
        <v>0</v>
      </c>
      <c r="K36" s="555">
        <v>0</v>
      </c>
      <c r="L36" s="560">
        <v>0</v>
      </c>
      <c r="M36" s="559">
        <v>0</v>
      </c>
      <c r="N36" s="559">
        <v>0</v>
      </c>
      <c r="O36" s="559">
        <v>0</v>
      </c>
      <c r="P36" s="559">
        <v>0</v>
      </c>
      <c r="Q36" s="561">
        <v>0</v>
      </c>
      <c r="R36" s="974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975"/>
      <c r="AG36" s="975"/>
      <c r="AH36" s="975"/>
      <c r="AI36" s="975"/>
      <c r="AJ36" s="975"/>
      <c r="AK36" s="975"/>
      <c r="AL36" s="975"/>
      <c r="AM36" s="975"/>
    </row>
    <row r="37" spans="1:39" s="976" customFormat="1" ht="18">
      <c r="A37" s="979"/>
      <c r="B37" s="710" t="s">
        <v>80</v>
      </c>
      <c r="C37" s="973"/>
      <c r="D37" s="562">
        <v>0</v>
      </c>
      <c r="E37" s="563">
        <v>0</v>
      </c>
      <c r="F37" s="564">
        <v>0</v>
      </c>
      <c r="G37" s="712">
        <f>SUM(E37:F37)</f>
        <v>0</v>
      </c>
      <c r="H37" s="563">
        <v>0</v>
      </c>
      <c r="I37" s="564">
        <v>0</v>
      </c>
      <c r="J37" s="712">
        <f>SUM(H37:I37)</f>
        <v>0</v>
      </c>
      <c r="K37" s="565">
        <v>0</v>
      </c>
      <c r="L37" s="566">
        <v>0</v>
      </c>
      <c r="M37" s="564">
        <v>0</v>
      </c>
      <c r="N37" s="564">
        <v>0</v>
      </c>
      <c r="O37" s="564">
        <v>0</v>
      </c>
      <c r="P37" s="564">
        <v>0</v>
      </c>
      <c r="Q37" s="567">
        <v>0</v>
      </c>
      <c r="R37" s="974"/>
      <c r="S37" s="975"/>
      <c r="T37" s="975"/>
      <c r="U37" s="975"/>
      <c r="V37" s="975"/>
      <c r="W37" s="975"/>
      <c r="X37" s="975"/>
      <c r="Y37" s="975"/>
      <c r="Z37" s="975"/>
      <c r="AA37" s="975"/>
      <c r="AB37" s="975"/>
      <c r="AC37" s="975"/>
      <c r="AD37" s="975"/>
      <c r="AE37" s="975"/>
      <c r="AF37" s="975"/>
      <c r="AG37" s="975"/>
      <c r="AH37" s="975"/>
      <c r="AI37" s="975"/>
      <c r="AJ37" s="975"/>
      <c r="AK37" s="975"/>
      <c r="AL37" s="975"/>
      <c r="AM37" s="975"/>
    </row>
    <row r="38" spans="1:39" s="976" customFormat="1" ht="18.75" thickBot="1">
      <c r="A38" s="979"/>
      <c r="B38" s="713"/>
      <c r="C38" s="973"/>
      <c r="D38" s="974"/>
      <c r="E38" s="977"/>
      <c r="F38" s="978"/>
      <c r="G38" s="711"/>
      <c r="H38" s="977"/>
      <c r="I38" s="978"/>
      <c r="J38" s="711"/>
      <c r="K38" s="973"/>
      <c r="L38" s="979"/>
      <c r="M38" s="978"/>
      <c r="N38" s="978"/>
      <c r="O38" s="978"/>
      <c r="P38" s="978"/>
      <c r="Q38" s="980"/>
      <c r="R38" s="974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975"/>
      <c r="AE38" s="975"/>
      <c r="AF38" s="975"/>
      <c r="AG38" s="975"/>
      <c r="AH38" s="975"/>
      <c r="AI38" s="975"/>
      <c r="AJ38" s="975"/>
      <c r="AK38" s="975"/>
      <c r="AL38" s="975"/>
      <c r="AM38" s="975"/>
    </row>
    <row r="39" spans="1:39" s="972" customFormat="1" ht="21.75" customHeight="1" thickBot="1">
      <c r="A39" s="715" t="s">
        <v>4</v>
      </c>
      <c r="B39" s="716"/>
      <c r="C39" s="717"/>
      <c r="D39" s="718">
        <f aca="true" t="shared" si="4" ref="D39:Q39">+D21+D27+D33</f>
        <v>53616</v>
      </c>
      <c r="E39" s="719">
        <f t="shared" si="4"/>
        <v>55761</v>
      </c>
      <c r="F39" s="720">
        <f t="shared" si="4"/>
        <v>0</v>
      </c>
      <c r="G39" s="718">
        <f t="shared" si="4"/>
        <v>55761</v>
      </c>
      <c r="H39" s="719">
        <f t="shared" si="4"/>
        <v>67892</v>
      </c>
      <c r="I39" s="720">
        <f t="shared" si="4"/>
        <v>0</v>
      </c>
      <c r="J39" s="718">
        <f t="shared" si="4"/>
        <v>67892</v>
      </c>
      <c r="K39" s="721">
        <f t="shared" si="4"/>
        <v>70203</v>
      </c>
      <c r="L39" s="722">
        <f t="shared" si="4"/>
        <v>121948</v>
      </c>
      <c r="M39" s="723">
        <f t="shared" si="4"/>
        <v>134141</v>
      </c>
      <c r="N39" s="723">
        <f t="shared" si="4"/>
        <v>150238</v>
      </c>
      <c r="O39" s="723">
        <f t="shared" si="4"/>
        <v>171271</v>
      </c>
      <c r="P39" s="723">
        <f t="shared" si="4"/>
        <v>198675</v>
      </c>
      <c r="Q39" s="721">
        <f t="shared" si="4"/>
        <v>234437</v>
      </c>
      <c r="R39" s="718"/>
      <c r="S39" s="971"/>
      <c r="T39" s="971"/>
      <c r="U39" s="971"/>
      <c r="V39" s="971"/>
      <c r="W39" s="971"/>
      <c r="X39" s="971"/>
      <c r="Y39" s="971"/>
      <c r="Z39" s="971"/>
      <c r="AA39" s="971"/>
      <c r="AB39" s="971"/>
      <c r="AC39" s="971"/>
      <c r="AD39" s="971"/>
      <c r="AE39" s="971"/>
      <c r="AF39" s="971"/>
      <c r="AG39" s="971"/>
      <c r="AH39" s="971"/>
      <c r="AI39" s="971"/>
      <c r="AJ39" s="971"/>
      <c r="AK39" s="971"/>
      <c r="AL39" s="971"/>
      <c r="AM39" s="971"/>
    </row>
    <row r="40" ht="13.5" thickTop="1"/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60" zoomScaleNormal="60" workbookViewId="0" topLeftCell="A1">
      <selection activeCell="A11" sqref="A11"/>
    </sheetView>
  </sheetViews>
  <sheetFormatPr defaultColWidth="9.140625" defaultRowHeight="12.75"/>
  <cols>
    <col min="1" max="2" width="40.7109375" style="585" customWidth="1"/>
    <col min="3" max="3" width="15.7109375" style="585" customWidth="1"/>
    <col min="4" max="4" width="40.7109375" style="585" customWidth="1"/>
    <col min="5" max="11" width="15.7109375" style="585" customWidth="1"/>
    <col min="12" max="16384" width="9.140625" style="585" customWidth="1"/>
  </cols>
  <sheetData>
    <row r="1" spans="1:31" s="577" customFormat="1" ht="24.75">
      <c r="A1" s="1" t="str">
        <f>+'Schedule 1 '!A1</f>
        <v>VOTE:  21  DEFENCE</v>
      </c>
      <c r="B1" s="573"/>
      <c r="C1" s="573"/>
      <c r="D1" s="573"/>
      <c r="E1" s="573"/>
      <c r="F1" s="573"/>
      <c r="G1" s="574"/>
      <c r="H1" s="573"/>
      <c r="I1" s="575"/>
      <c r="J1" s="573"/>
      <c r="K1" s="573"/>
      <c r="L1" s="574" t="s">
        <v>68</v>
      </c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6"/>
      <c r="Z1" s="576"/>
      <c r="AA1" s="576"/>
      <c r="AB1" s="573"/>
      <c r="AE1" s="578"/>
    </row>
    <row r="2" spans="1:11" s="580" customFormat="1" ht="18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363" t="s">
        <v>133</v>
      </c>
    </row>
    <row r="3" spans="1:12" s="580" customFormat="1" ht="22.5">
      <c r="A3" s="724" t="s">
        <v>99</v>
      </c>
      <c r="B3" s="581"/>
      <c r="C3" s="581"/>
      <c r="D3" s="581"/>
      <c r="E3" s="581"/>
      <c r="F3" s="581"/>
      <c r="G3" s="579"/>
      <c r="H3" s="579"/>
      <c r="I3" s="582"/>
      <c r="J3" s="579"/>
      <c r="K3" s="579"/>
      <c r="L3" s="583" t="s">
        <v>68</v>
      </c>
    </row>
    <row r="5" spans="1:11" ht="18.75" thickBot="1">
      <c r="A5" s="364" t="s">
        <v>100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s="584" customFormat="1" ht="18.75" thickTop="1">
      <c r="A6" s="725"/>
      <c r="B6" s="726"/>
      <c r="C6" s="726"/>
      <c r="D6" s="727"/>
      <c r="E6" s="728"/>
      <c r="F6" s="729"/>
      <c r="G6" s="730"/>
      <c r="H6" s="731"/>
      <c r="I6" s="732"/>
      <c r="J6" s="733"/>
      <c r="K6" s="734"/>
    </row>
    <row r="7" spans="1:11" s="584" customFormat="1" ht="18">
      <c r="A7" s="735"/>
      <c r="B7" s="736"/>
      <c r="C7" s="736"/>
      <c r="D7" s="737"/>
      <c r="E7" s="738"/>
      <c r="F7" s="739"/>
      <c r="G7" s="740"/>
      <c r="H7" s="741"/>
      <c r="I7" s="1052" t="s">
        <v>7</v>
      </c>
      <c r="J7" s="1053"/>
      <c r="K7" s="1054"/>
    </row>
    <row r="8" spans="1:11" s="584" customFormat="1" ht="18.75" thickBot="1">
      <c r="A8" s="735"/>
      <c r="B8" s="736"/>
      <c r="C8" s="736" t="s">
        <v>101</v>
      </c>
      <c r="D8" s="737"/>
      <c r="E8" s="738"/>
      <c r="F8" s="739"/>
      <c r="G8" s="740"/>
      <c r="H8" s="741"/>
      <c r="I8" s="1049"/>
      <c r="J8" s="1050"/>
      <c r="K8" s="1051"/>
    </row>
    <row r="9" spans="1:11" s="584" customFormat="1" ht="18">
      <c r="A9" s="735" t="s">
        <v>102</v>
      </c>
      <c r="B9" s="736" t="s">
        <v>94</v>
      </c>
      <c r="C9" s="736" t="s">
        <v>103</v>
      </c>
      <c r="D9" s="737" t="s">
        <v>104</v>
      </c>
      <c r="E9" s="738" t="s">
        <v>105</v>
      </c>
      <c r="F9" s="739" t="s">
        <v>0</v>
      </c>
      <c r="G9" s="740" t="s">
        <v>1</v>
      </c>
      <c r="H9" s="741" t="s">
        <v>2</v>
      </c>
      <c r="I9" s="742"/>
      <c r="J9" s="739"/>
      <c r="K9" s="743"/>
    </row>
    <row r="10" spans="1:11" s="584" customFormat="1" ht="18">
      <c r="A10" s="735"/>
      <c r="B10" s="736"/>
      <c r="C10" s="736" t="s">
        <v>106</v>
      </c>
      <c r="D10" s="737"/>
      <c r="E10" s="738"/>
      <c r="F10" s="739"/>
      <c r="G10" s="740"/>
      <c r="H10" s="741"/>
      <c r="I10" s="742" t="s">
        <v>3</v>
      </c>
      <c r="J10" s="739" t="s">
        <v>15</v>
      </c>
      <c r="K10" s="743" t="s">
        <v>71</v>
      </c>
    </row>
    <row r="11" spans="1:11" s="584" customFormat="1" ht="18">
      <c r="A11" s="735"/>
      <c r="B11" s="736"/>
      <c r="C11" s="736"/>
      <c r="D11" s="737"/>
      <c r="E11" s="738"/>
      <c r="F11" s="739"/>
      <c r="G11" s="740"/>
      <c r="H11" s="741"/>
      <c r="I11" s="742"/>
      <c r="J11" s="739"/>
      <c r="K11" s="743"/>
    </row>
    <row r="12" spans="1:11" s="584" customFormat="1" ht="19.5" thickBot="1">
      <c r="A12" s="744">
        <v>-1</v>
      </c>
      <c r="B12" s="745">
        <f aca="true" t="shared" si="0" ref="B12:K12">+A12-1</f>
        <v>-2</v>
      </c>
      <c r="C12" s="745">
        <f t="shared" si="0"/>
        <v>-3</v>
      </c>
      <c r="D12" s="746">
        <f t="shared" si="0"/>
        <v>-4</v>
      </c>
      <c r="E12" s="747">
        <f t="shared" si="0"/>
        <v>-5</v>
      </c>
      <c r="F12" s="748">
        <f t="shared" si="0"/>
        <v>-6</v>
      </c>
      <c r="G12" s="749">
        <f t="shared" si="0"/>
        <v>-7</v>
      </c>
      <c r="H12" s="750">
        <f t="shared" si="0"/>
        <v>-8</v>
      </c>
      <c r="I12" s="751">
        <f t="shared" si="0"/>
        <v>-9</v>
      </c>
      <c r="J12" s="748">
        <f t="shared" si="0"/>
        <v>-10</v>
      </c>
      <c r="K12" s="752">
        <f t="shared" si="0"/>
        <v>-11</v>
      </c>
    </row>
    <row r="13" spans="1:11" ht="18">
      <c r="A13" s="368"/>
      <c r="B13" s="753"/>
      <c r="C13" s="753"/>
      <c r="D13" s="754"/>
      <c r="E13" s="755" t="s">
        <v>6</v>
      </c>
      <c r="F13" s="756" t="s">
        <v>6</v>
      </c>
      <c r="G13" s="757" t="s">
        <v>6</v>
      </c>
      <c r="H13" s="369" t="s">
        <v>6</v>
      </c>
      <c r="I13" s="758" t="s">
        <v>6</v>
      </c>
      <c r="J13" s="756" t="s">
        <v>6</v>
      </c>
      <c r="K13" s="759" t="s">
        <v>6</v>
      </c>
    </row>
    <row r="14" spans="1:11" ht="18">
      <c r="A14" s="586"/>
      <c r="B14" s="587"/>
      <c r="C14" s="587"/>
      <c r="D14" s="588"/>
      <c r="E14" s="982"/>
      <c r="F14" s="983"/>
      <c r="G14" s="984"/>
      <c r="H14" s="985"/>
      <c r="I14" s="986"/>
      <c r="J14" s="983"/>
      <c r="K14" s="987"/>
    </row>
    <row r="15" spans="1:11" ht="18">
      <c r="A15" s="586"/>
      <c r="B15" s="587"/>
      <c r="C15" s="587"/>
      <c r="D15" s="588"/>
      <c r="E15" s="589">
        <v>0</v>
      </c>
      <c r="F15" s="590">
        <v>0</v>
      </c>
      <c r="G15" s="591">
        <v>0</v>
      </c>
      <c r="H15" s="592">
        <v>0</v>
      </c>
      <c r="I15" s="593">
        <v>0</v>
      </c>
      <c r="J15" s="590">
        <v>0</v>
      </c>
      <c r="K15" s="594">
        <v>0</v>
      </c>
    </row>
    <row r="16" spans="1:11" ht="18">
      <c r="A16" s="586"/>
      <c r="B16" s="587"/>
      <c r="C16" s="587"/>
      <c r="D16" s="588"/>
      <c r="E16" s="595">
        <v>0</v>
      </c>
      <c r="F16" s="596">
        <v>0</v>
      </c>
      <c r="G16" s="597">
        <v>0</v>
      </c>
      <c r="H16" s="587">
        <v>0</v>
      </c>
      <c r="I16" s="598">
        <v>0</v>
      </c>
      <c r="J16" s="596">
        <v>0</v>
      </c>
      <c r="K16" s="599">
        <v>0</v>
      </c>
    </row>
    <row r="17" spans="1:11" ht="18">
      <c r="A17" s="586"/>
      <c r="B17" s="587"/>
      <c r="C17" s="587"/>
      <c r="D17" s="588"/>
      <c r="E17" s="595">
        <v>0</v>
      </c>
      <c r="F17" s="596">
        <v>0</v>
      </c>
      <c r="G17" s="597">
        <v>0</v>
      </c>
      <c r="H17" s="587">
        <v>0</v>
      </c>
      <c r="I17" s="598">
        <v>0</v>
      </c>
      <c r="J17" s="596">
        <v>0</v>
      </c>
      <c r="K17" s="599">
        <v>0</v>
      </c>
    </row>
    <row r="18" spans="1:11" ht="18">
      <c r="A18" s="586"/>
      <c r="B18" s="587"/>
      <c r="C18" s="587"/>
      <c r="D18" s="588"/>
      <c r="E18" s="595">
        <v>0</v>
      </c>
      <c r="F18" s="596">
        <v>0</v>
      </c>
      <c r="G18" s="597">
        <v>0</v>
      </c>
      <c r="H18" s="587">
        <v>0</v>
      </c>
      <c r="I18" s="598">
        <v>0</v>
      </c>
      <c r="J18" s="596">
        <v>0</v>
      </c>
      <c r="K18" s="599">
        <v>0</v>
      </c>
    </row>
    <row r="19" spans="1:11" ht="18.75" thickBot="1">
      <c r="A19" s="600"/>
      <c r="B19" s="601"/>
      <c r="C19" s="601"/>
      <c r="D19" s="602"/>
      <c r="E19" s="603"/>
      <c r="F19" s="604"/>
      <c r="G19" s="605"/>
      <c r="H19" s="601"/>
      <c r="I19" s="606"/>
      <c r="J19" s="604"/>
      <c r="K19" s="607"/>
    </row>
    <row r="20" spans="1:11" s="584" customFormat="1" ht="18.75" thickBot="1">
      <c r="A20" s="760" t="s">
        <v>107</v>
      </c>
      <c r="B20" s="761"/>
      <c r="C20" s="762">
        <f>SUM(C14:C19)</f>
        <v>0</v>
      </c>
      <c r="D20" s="763"/>
      <c r="E20" s="764">
        <f aca="true" t="shared" si="1" ref="E20:K20">SUM(E14:E19)</f>
        <v>0</v>
      </c>
      <c r="F20" s="765">
        <f t="shared" si="1"/>
        <v>0</v>
      </c>
      <c r="G20" s="766">
        <f t="shared" si="1"/>
        <v>0</v>
      </c>
      <c r="H20" s="762">
        <f t="shared" si="1"/>
        <v>0</v>
      </c>
      <c r="I20" s="767">
        <f t="shared" si="1"/>
        <v>0</v>
      </c>
      <c r="J20" s="765">
        <f t="shared" si="1"/>
        <v>0</v>
      </c>
      <c r="K20" s="768">
        <f t="shared" si="1"/>
        <v>0</v>
      </c>
    </row>
    <row r="21" ht="18.75" thickTop="1"/>
    <row r="23" spans="1:11" ht="18.75" thickBot="1">
      <c r="A23" s="364" t="s">
        <v>108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</row>
    <row r="24" spans="1:11" ht="18.75" thickTop="1">
      <c r="A24" s="725"/>
      <c r="B24" s="726"/>
      <c r="C24" s="726"/>
      <c r="D24" s="727"/>
      <c r="E24" s="732"/>
      <c r="F24" s="732"/>
      <c r="G24" s="769"/>
      <c r="H24" s="731"/>
      <c r="I24" s="732"/>
      <c r="J24" s="733"/>
      <c r="K24" s="734"/>
    </row>
    <row r="25" spans="1:11" ht="18">
      <c r="A25" s="735"/>
      <c r="B25" s="736"/>
      <c r="C25" s="736" t="s">
        <v>109</v>
      </c>
      <c r="D25" s="737"/>
      <c r="E25" s="737" t="s">
        <v>110</v>
      </c>
      <c r="F25" s="1052" t="s">
        <v>111</v>
      </c>
      <c r="G25" s="1055"/>
      <c r="H25" s="741"/>
      <c r="I25" s="1052" t="s">
        <v>7</v>
      </c>
      <c r="J25" s="1053"/>
      <c r="K25" s="1054"/>
    </row>
    <row r="26" spans="1:11" ht="18.75" thickBot="1">
      <c r="A26" s="735"/>
      <c r="B26" s="736"/>
      <c r="C26" s="736" t="s">
        <v>101</v>
      </c>
      <c r="D26" s="737"/>
      <c r="E26" s="737" t="s">
        <v>112</v>
      </c>
      <c r="F26" s="1052" t="s">
        <v>113</v>
      </c>
      <c r="G26" s="1055"/>
      <c r="H26" s="741"/>
      <c r="I26" s="1049"/>
      <c r="J26" s="1050"/>
      <c r="K26" s="1051"/>
    </row>
    <row r="27" spans="1:11" ht="18">
      <c r="A27" s="735" t="s">
        <v>102</v>
      </c>
      <c r="B27" s="736" t="s">
        <v>94</v>
      </c>
      <c r="C27" s="736" t="s">
        <v>103</v>
      </c>
      <c r="D27" s="737" t="s">
        <v>104</v>
      </c>
      <c r="E27" s="737" t="s">
        <v>5</v>
      </c>
      <c r="F27" s="770"/>
      <c r="G27" s="771"/>
      <c r="H27" s="741" t="s">
        <v>2</v>
      </c>
      <c r="I27" s="742"/>
      <c r="J27" s="739"/>
      <c r="K27" s="743"/>
    </row>
    <row r="28" spans="1:11" ht="18">
      <c r="A28" s="735"/>
      <c r="B28" s="736"/>
      <c r="C28" s="736" t="s">
        <v>114</v>
      </c>
      <c r="D28" s="737"/>
      <c r="E28" s="770"/>
      <c r="F28" s="770"/>
      <c r="G28" s="771"/>
      <c r="H28" s="741"/>
      <c r="I28" s="742" t="s">
        <v>3</v>
      </c>
      <c r="J28" s="739" t="s">
        <v>15</v>
      </c>
      <c r="K28" s="743" t="s">
        <v>71</v>
      </c>
    </row>
    <row r="29" spans="1:11" ht="18">
      <c r="A29" s="735"/>
      <c r="B29" s="736"/>
      <c r="C29" s="736"/>
      <c r="D29" s="737"/>
      <c r="E29" s="770"/>
      <c r="F29" s="770"/>
      <c r="G29" s="771"/>
      <c r="H29" s="741"/>
      <c r="I29" s="742"/>
      <c r="J29" s="739"/>
      <c r="K29" s="743"/>
    </row>
    <row r="30" spans="1:11" ht="19.5" thickBot="1">
      <c r="A30" s="772">
        <v>-1</v>
      </c>
      <c r="B30" s="745">
        <f>+A30-1</f>
        <v>-2</v>
      </c>
      <c r="C30" s="745">
        <f>+B30-1</f>
        <v>-3</v>
      </c>
      <c r="D30" s="746">
        <f>+C30-1</f>
        <v>-4</v>
      </c>
      <c r="E30" s="773">
        <f>+D30-1</f>
        <v>-5</v>
      </c>
      <c r="F30" s="1047">
        <f>+E30-1</f>
        <v>-6</v>
      </c>
      <c r="G30" s="1048"/>
      <c r="H30" s="750">
        <f>+F30-1</f>
        <v>-7</v>
      </c>
      <c r="I30" s="751">
        <f>+H30-1</f>
        <v>-8</v>
      </c>
      <c r="J30" s="748">
        <f>+I30-1</f>
        <v>-9</v>
      </c>
      <c r="K30" s="752">
        <f>+J30-1</f>
        <v>-10</v>
      </c>
    </row>
    <row r="31" spans="1:11" ht="18">
      <c r="A31" s="368"/>
      <c r="B31" s="753"/>
      <c r="C31" s="753"/>
      <c r="D31" s="754"/>
      <c r="E31" s="774"/>
      <c r="F31" s="775"/>
      <c r="G31" s="776"/>
      <c r="H31" s="369" t="s">
        <v>6</v>
      </c>
      <c r="I31" s="758" t="s">
        <v>6</v>
      </c>
      <c r="J31" s="756" t="s">
        <v>6</v>
      </c>
      <c r="K31" s="759" t="s">
        <v>6</v>
      </c>
    </row>
    <row r="32" spans="1:11" ht="18">
      <c r="A32" s="586"/>
      <c r="B32" s="587"/>
      <c r="C32" s="587"/>
      <c r="D32" s="587"/>
      <c r="E32" s="588"/>
      <c r="F32" s="588"/>
      <c r="G32" s="608"/>
      <c r="H32" s="587"/>
      <c r="I32" s="598"/>
      <c r="J32" s="596"/>
      <c r="K32" s="599"/>
    </row>
    <row r="33" spans="1:11" ht="18">
      <c r="A33" s="586"/>
      <c r="B33" s="587"/>
      <c r="C33" s="587"/>
      <c r="D33" s="587"/>
      <c r="E33" s="588"/>
      <c r="F33" s="588"/>
      <c r="G33" s="608"/>
      <c r="H33" s="587">
        <v>0</v>
      </c>
      <c r="I33" s="598">
        <v>0</v>
      </c>
      <c r="J33" s="596">
        <v>0</v>
      </c>
      <c r="K33" s="599">
        <v>0</v>
      </c>
    </row>
    <row r="34" spans="1:11" ht="18">
      <c r="A34" s="586"/>
      <c r="B34" s="587"/>
      <c r="C34" s="587"/>
      <c r="D34" s="587"/>
      <c r="E34" s="588"/>
      <c r="F34" s="588"/>
      <c r="G34" s="608"/>
      <c r="H34" s="587">
        <v>0</v>
      </c>
      <c r="I34" s="598">
        <v>0</v>
      </c>
      <c r="J34" s="596">
        <v>0</v>
      </c>
      <c r="K34" s="599">
        <v>0</v>
      </c>
    </row>
    <row r="35" spans="1:11" ht="18">
      <c r="A35" s="586"/>
      <c r="B35" s="587"/>
      <c r="C35" s="587"/>
      <c r="D35" s="587"/>
      <c r="E35" s="588"/>
      <c r="F35" s="588"/>
      <c r="G35" s="608"/>
      <c r="H35" s="587">
        <v>0</v>
      </c>
      <c r="I35" s="598">
        <v>0</v>
      </c>
      <c r="J35" s="596">
        <v>0</v>
      </c>
      <c r="K35" s="599">
        <v>0</v>
      </c>
    </row>
    <row r="36" spans="1:11" ht="18">
      <c r="A36" s="586"/>
      <c r="B36" s="587"/>
      <c r="C36" s="587"/>
      <c r="D36" s="587"/>
      <c r="E36" s="588"/>
      <c r="F36" s="588"/>
      <c r="G36" s="608"/>
      <c r="H36" s="587">
        <v>0</v>
      </c>
      <c r="I36" s="598">
        <v>0</v>
      </c>
      <c r="J36" s="596">
        <v>0</v>
      </c>
      <c r="K36" s="599">
        <v>0</v>
      </c>
    </row>
    <row r="37" spans="1:11" ht="18.75" thickBot="1">
      <c r="A37" s="600"/>
      <c r="B37" s="601"/>
      <c r="C37" s="601"/>
      <c r="D37" s="601"/>
      <c r="E37" s="602"/>
      <c r="F37" s="602"/>
      <c r="G37" s="609"/>
      <c r="H37" s="601"/>
      <c r="I37" s="606"/>
      <c r="J37" s="604"/>
      <c r="K37" s="607"/>
    </row>
    <row r="38" spans="1:11" ht="18.75" thickBot="1">
      <c r="A38" s="370" t="s">
        <v>107</v>
      </c>
      <c r="B38" s="777"/>
      <c r="C38" s="778">
        <f>SUM(C32:C37)</f>
        <v>0</v>
      </c>
      <c r="D38" s="779"/>
      <c r="E38" s="780"/>
      <c r="F38" s="780"/>
      <c r="G38" s="780"/>
      <c r="H38" s="762">
        <f>SUM(H32:H37)</f>
        <v>0</v>
      </c>
      <c r="I38" s="767">
        <f>SUM(I32:I37)</f>
        <v>0</v>
      </c>
      <c r="J38" s="765">
        <f>SUM(J32:J37)</f>
        <v>0</v>
      </c>
      <c r="K38" s="768">
        <f>SUM(K32:K37)</f>
        <v>0</v>
      </c>
    </row>
    <row r="39" ht="18.75" thickTop="1"/>
    <row r="40" ht="18">
      <c r="A40" s="781" t="s">
        <v>115</v>
      </c>
    </row>
    <row r="41" ht="18">
      <c r="A41" s="781" t="s">
        <v>116</v>
      </c>
    </row>
    <row r="42" ht="18">
      <c r="A42" s="781" t="s">
        <v>117</v>
      </c>
    </row>
  </sheetData>
  <mergeCells count="7">
    <mergeCell ref="F30:G30"/>
    <mergeCell ref="I8:K8"/>
    <mergeCell ref="I7:K7"/>
    <mergeCell ref="I25:K25"/>
    <mergeCell ref="I26:K26"/>
    <mergeCell ref="F25:G25"/>
    <mergeCell ref="F26:G2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Da Silva</dc:creator>
  <cp:keywords/>
  <dc:description/>
  <cp:lastModifiedBy>Shaheda</cp:lastModifiedBy>
  <cp:lastPrinted>2002-08-02T09:37:54Z</cp:lastPrinted>
  <dcterms:created xsi:type="dcterms:W3CDTF">2001-02-27T07:36:19Z</dcterms:created>
  <dcterms:modified xsi:type="dcterms:W3CDTF">2002-07-24T10:07:14Z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